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dc631b7ff9f7f723/Documents/geodesy/"/>
    </mc:Choice>
  </mc:AlternateContent>
  <xr:revisionPtr revIDLastSave="42" documentId="13_ncr:4000b_{1E45BA25-60B4-4989-8350-E2494B9D5BF4}" xr6:coauthVersionLast="47" xr6:coauthVersionMax="47" xr10:uidLastSave="{AA9354AB-4851-41BE-B3F6-27DA4D43C906}"/>
  <bookViews>
    <workbookView xWindow="885" yWindow="435" windowWidth="14775" windowHeight="14910" xr2:uid="{00000000-000D-0000-FFFF-FFFF00000000}"/>
  </bookViews>
  <sheets>
    <sheet name="Datum Transformation" sheetId="5" r:id="rId1"/>
    <sheet name="Geodetic to Cartesian" sheetId="1" r:id="rId2"/>
    <sheet name="7 parameter transformation" sheetId="2" r:id="rId3"/>
    <sheet name="Cartesian to geodetic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E23" i="2" s="1"/>
  <c r="G7" i="2"/>
  <c r="E28" i="2" s="1"/>
  <c r="G8" i="2"/>
  <c r="E29" i="2" s="1"/>
  <c r="G9" i="2"/>
  <c r="G14" i="2" s="1"/>
  <c r="G10" i="2"/>
  <c r="G15" i="2" s="1"/>
  <c r="K19" i="2" s="1"/>
  <c r="G11" i="2"/>
  <c r="G16" i="2" s="1"/>
  <c r="J16" i="2" s="1"/>
  <c r="G12" i="2"/>
  <c r="G17" i="2" s="1"/>
  <c r="G19" i="2" s="1"/>
  <c r="D5" i="2"/>
  <c r="K5" i="2"/>
  <c r="E27" i="2"/>
  <c r="C11" i="3"/>
  <c r="D12" i="3"/>
  <c r="D13" i="3"/>
  <c r="D14" i="3" s="1"/>
  <c r="D15" i="3" s="1"/>
  <c r="I7" i="5"/>
  <c r="I8" i="5"/>
  <c r="I9" i="5"/>
  <c r="F17" i="5"/>
  <c r="I17" i="5"/>
  <c r="F18" i="5"/>
  <c r="I18" i="5"/>
  <c r="F19" i="5"/>
  <c r="I19" i="5"/>
  <c r="F20" i="5"/>
  <c r="I20" i="5"/>
  <c r="F21" i="5"/>
  <c r="I21" i="5"/>
  <c r="F22" i="5"/>
  <c r="I22" i="5"/>
  <c r="C23" i="5"/>
  <c r="F23" i="5"/>
  <c r="I23" i="5"/>
  <c r="C24" i="5"/>
  <c r="D7" i="1"/>
  <c r="E7" i="1"/>
  <c r="F7" i="1"/>
  <c r="G7" i="1"/>
  <c r="D8" i="1"/>
  <c r="E8" i="1"/>
  <c r="F8" i="1"/>
  <c r="G8" i="1"/>
  <c r="D9" i="1"/>
  <c r="C12" i="1"/>
  <c r="D13" i="1"/>
  <c r="D14" i="1"/>
  <c r="D15" i="1" s="1"/>
  <c r="D16" i="1" s="1"/>
  <c r="H8" i="1" l="1"/>
  <c r="I8" i="1" s="1"/>
  <c r="J8" i="1" s="1"/>
  <c r="H7" i="1"/>
  <c r="I7" i="1" s="1"/>
  <c r="J7" i="1" s="1"/>
  <c r="D17" i="1" s="1"/>
  <c r="E21" i="2"/>
  <c r="E25" i="2"/>
  <c r="J19" i="2"/>
  <c r="I19" i="2"/>
  <c r="K20" i="2"/>
  <c r="J20" i="2"/>
  <c r="I21" i="2"/>
  <c r="E24" i="2"/>
  <c r="E19" i="2"/>
  <c r="I20" i="2"/>
  <c r="K21" i="2"/>
  <c r="E20" i="2"/>
  <c r="G23" i="2"/>
  <c r="J21" i="2"/>
  <c r="M8" i="1" l="1"/>
  <c r="D7" i="2" s="1"/>
  <c r="M20" i="2" s="1"/>
  <c r="M7" i="1"/>
  <c r="D6" i="2" s="1"/>
  <c r="M19" i="2" s="1"/>
  <c r="M9" i="1"/>
  <c r="D8" i="2" s="1"/>
  <c r="M21" i="2" s="1"/>
  <c r="I23" i="2" l="1"/>
  <c r="G27" i="2" s="1"/>
  <c r="E31" i="2" s="1"/>
  <c r="K6" i="2" s="1"/>
  <c r="D6" i="3" s="1"/>
  <c r="I24" i="2"/>
  <c r="G28" i="2" s="1"/>
  <c r="E32" i="2" s="1"/>
  <c r="K7" i="2" s="1"/>
  <c r="D7" i="3" s="1"/>
  <c r="I25" i="2"/>
  <c r="G29" i="2" s="1"/>
  <c r="E33" i="2" s="1"/>
  <c r="K8" i="2" s="1"/>
  <c r="D8" i="3" s="1"/>
  <c r="D22" i="3" l="1"/>
  <c r="F22" i="3" s="1"/>
  <c r="J7" i="3" s="1"/>
  <c r="M8" i="5" s="1"/>
  <c r="D19" i="3"/>
  <c r="D20" i="3" s="1"/>
  <c r="D21" i="3" s="1"/>
  <c r="D26" i="3" s="1"/>
  <c r="G22" i="3" l="1"/>
  <c r="G7" i="3" s="1"/>
  <c r="J8" i="5" s="1"/>
  <c r="D27" i="3"/>
  <c r="D23" i="3" s="1"/>
  <c r="F23" i="3" l="1"/>
  <c r="D16" i="3"/>
  <c r="D24" i="3"/>
  <c r="I8" i="3" s="1"/>
  <c r="J9" i="5" s="1"/>
  <c r="J10" i="5" s="1"/>
  <c r="H7" i="3"/>
  <c r="K8" i="5" s="1"/>
  <c r="I7" i="3" l="1"/>
  <c r="L8" i="5" s="1"/>
  <c r="G23" i="3"/>
  <c r="J6" i="3"/>
  <c r="M7" i="5" s="1"/>
  <c r="G6" i="3" l="1"/>
  <c r="J7" i="5" s="1"/>
  <c r="H6" i="3" l="1"/>
  <c r="K7" i="5" s="1"/>
  <c r="I6" i="3" l="1"/>
  <c r="L7" i="5" s="1"/>
</calcChain>
</file>

<file path=xl/sharedStrings.xml><?xml version="1.0" encoding="utf-8"?>
<sst xmlns="http://schemas.openxmlformats.org/spreadsheetml/2006/main" count="135" uniqueCount="68">
  <si>
    <t>Conversion of Geodetic Coordinates to "Earth-centred" Cartesian Coordinates</t>
  </si>
  <si>
    <t>deg</t>
  </si>
  <si>
    <t>min</t>
  </si>
  <si>
    <t>secs</t>
  </si>
  <si>
    <t>abs dec deg</t>
  </si>
  <si>
    <t>dec deg</t>
  </si>
  <si>
    <t>radians</t>
  </si>
  <si>
    <t>Latitude</t>
  </si>
  <si>
    <t>X</t>
  </si>
  <si>
    <t>Longitude</t>
  </si>
  <si>
    <t>Y</t>
  </si>
  <si>
    <t>Ellipsoidal height</t>
  </si>
  <si>
    <t>Z</t>
  </si>
  <si>
    <t>Ellipsoid</t>
  </si>
  <si>
    <t>Semi major axis (a)</t>
  </si>
  <si>
    <t>Inverse flattening (1/f)</t>
  </si>
  <si>
    <t>f</t>
  </si>
  <si>
    <r>
      <t>e</t>
    </r>
    <r>
      <rPr>
        <vertAlign val="superscript"/>
        <sz val="10"/>
        <rFont val="Arial"/>
        <family val="2"/>
      </rPr>
      <t>2</t>
    </r>
  </si>
  <si>
    <t>n</t>
  </si>
  <si>
    <t>Input</t>
  </si>
  <si>
    <t>Output</t>
  </si>
  <si>
    <t>3 Dimensional Similarity Transformation</t>
  </si>
  <si>
    <t>INPUT</t>
  </si>
  <si>
    <t>Parameters (from -&gt; to)</t>
  </si>
  <si>
    <t>OUTPUT</t>
  </si>
  <si>
    <r>
      <t>D</t>
    </r>
    <r>
      <rPr>
        <vertAlign val="subscript"/>
        <sz val="10"/>
        <rFont val="Arial"/>
        <family val="2"/>
      </rPr>
      <t>X</t>
    </r>
  </si>
  <si>
    <t>(metres)</t>
  </si>
  <si>
    <t>Xs</t>
  </si>
  <si>
    <r>
      <t>D</t>
    </r>
    <r>
      <rPr>
        <vertAlign val="subscript"/>
        <sz val="10"/>
        <rFont val="Arial"/>
        <family val="2"/>
      </rPr>
      <t>Y</t>
    </r>
  </si>
  <si>
    <t>Ys</t>
  </si>
  <si>
    <r>
      <t>D</t>
    </r>
    <r>
      <rPr>
        <vertAlign val="subscript"/>
        <sz val="10"/>
        <rFont val="Arial"/>
        <family val="2"/>
      </rPr>
      <t>Z</t>
    </r>
  </si>
  <si>
    <t>Zs</t>
  </si>
  <si>
    <r>
      <t>R</t>
    </r>
    <r>
      <rPr>
        <vertAlign val="subscript"/>
        <sz val="10"/>
        <rFont val="Arial"/>
        <family val="2"/>
      </rPr>
      <t>X</t>
    </r>
  </si>
  <si>
    <t>(seconds)</t>
  </si>
  <si>
    <r>
      <t>R</t>
    </r>
    <r>
      <rPr>
        <vertAlign val="subscript"/>
        <sz val="10"/>
        <rFont val="Arial"/>
        <family val="2"/>
      </rPr>
      <t>Y</t>
    </r>
  </si>
  <si>
    <r>
      <t>R</t>
    </r>
    <r>
      <rPr>
        <vertAlign val="subscript"/>
        <sz val="10"/>
        <rFont val="Arial"/>
        <family val="2"/>
      </rPr>
      <t>Z</t>
    </r>
  </si>
  <si>
    <t>Sc</t>
  </si>
  <si>
    <t>(ppm)</t>
  </si>
  <si>
    <t>Rx</t>
  </si>
  <si>
    <t>(radians)</t>
  </si>
  <si>
    <t>Ry</t>
  </si>
  <si>
    <t>Rz</t>
  </si>
  <si>
    <t>Scale factor</t>
  </si>
  <si>
    <t>+</t>
  </si>
  <si>
    <t>=</t>
  </si>
  <si>
    <t>Conversion of "Earth-centred" Cartesian Coordinates to Geodetic Coordinates</t>
  </si>
  <si>
    <t>sec</t>
  </si>
  <si>
    <t>p</t>
  </si>
  <si>
    <t>r</t>
  </si>
  <si>
    <t>m</t>
  </si>
  <si>
    <t>longitude</t>
  </si>
  <si>
    <t>latitude</t>
  </si>
  <si>
    <t>ellip height</t>
  </si>
  <si>
    <t>latitudetop line</t>
  </si>
  <si>
    <t>latitude bottom line</t>
  </si>
  <si>
    <t>Parameters</t>
  </si>
  <si>
    <t>7-Parameter Datum Transformation</t>
  </si>
  <si>
    <t xml:space="preserve"> (from -&gt; to) parmeters</t>
  </si>
  <si>
    <t>abs deg</t>
  </si>
  <si>
    <t xml:space="preserve">Ellipsoid 'from' </t>
  </si>
  <si>
    <t>Ellipsoid 'to'</t>
  </si>
  <si>
    <t>Cartesian Coordinates</t>
  </si>
  <si>
    <t>N</t>
  </si>
  <si>
    <t>GRS-80</t>
  </si>
  <si>
    <t>W</t>
  </si>
  <si>
    <t>ftUs</t>
  </si>
  <si>
    <t>Orthometric height correction</t>
  </si>
  <si>
    <t>WGS84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</si>
</sst>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0"/>
    <numFmt numFmtId="165" formatCode="0.000"/>
    <numFmt numFmtId="166" formatCode="0.000000"/>
    <numFmt numFmtId="167" formatCode="0.000000000"/>
    <numFmt numFmtId="168" formatCode="0.0000000000"/>
    <numFmt numFmtId="169" formatCode="0,000,000.000"/>
    <numFmt numFmtId="170" formatCode="000\°"/>
    <numFmt numFmtId="171" formatCode="00\°"/>
    <numFmt numFmtId="172" formatCode="00\'"/>
    <numFmt numFmtId="173" formatCode="00.00000\&quot;"/>
    <numFmt numFmtId="174" formatCode="\,000,000.000"/>
    <numFmt numFmtId="175" formatCode="000,000.000"/>
    <numFmt numFmtId="176" formatCode="0.00000000"/>
    <numFmt numFmtId="177" formatCode="0.0000E+00"/>
  </numFmts>
  <fonts count="16" x14ac:knownFonts="1">
    <font>
      <sz val="10"/>
      <name val="Arial"/>
    </font>
    <font>
      <b/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</font>
    <font>
      <sz val="10"/>
      <color indexed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0" fontId="0" fillId="0" borderId="2" xfId="0" applyBorder="1"/>
    <xf numFmtId="0" fontId="0" fillId="0" borderId="3" xfId="0" applyBorder="1"/>
    <xf numFmtId="166" fontId="0" fillId="0" borderId="0" xfId="0" applyNumberFormat="1" applyAlignment="1">
      <alignment horizontal="centerContinuous"/>
    </xf>
    <xf numFmtId="165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8" fontId="0" fillId="0" borderId="0" xfId="0" applyNumberFormat="1" applyAlignment="1">
      <alignment horizontal="left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1" xfId="0" applyBorder="1"/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/>
    <xf numFmtId="168" fontId="0" fillId="0" borderId="2" xfId="0" applyNumberFormat="1" applyBorder="1"/>
    <xf numFmtId="168" fontId="0" fillId="0" borderId="0" xfId="0" applyNumberFormat="1" applyAlignment="1">
      <alignment horizontal="center"/>
    </xf>
    <xf numFmtId="168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1" fillId="0" borderId="0" xfId="0" applyFont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Continuous"/>
    </xf>
    <xf numFmtId="165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0" fontId="0" fillId="0" borderId="7" xfId="0" applyBorder="1"/>
    <xf numFmtId="0" fontId="0" fillId="0" borderId="8" xfId="0" applyBorder="1"/>
    <xf numFmtId="16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6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/>
    </xf>
    <xf numFmtId="0" fontId="6" fillId="0" borderId="0" xfId="0" applyFont="1"/>
    <xf numFmtId="0" fontId="0" fillId="2" borderId="0" xfId="0" applyFill="1"/>
    <xf numFmtId="0" fontId="8" fillId="0" borderId="0" xfId="0" applyFont="1"/>
    <xf numFmtId="171" fontId="0" fillId="2" borderId="0" xfId="0" applyNumberFormat="1" applyFill="1"/>
    <xf numFmtId="172" fontId="0" fillId="2" borderId="0" xfId="0" applyNumberFormat="1" applyFill="1"/>
    <xf numFmtId="173" fontId="0" fillId="2" borderId="0" xfId="0" applyNumberFormat="1" applyFill="1"/>
    <xf numFmtId="169" fontId="5" fillId="3" borderId="0" xfId="0" applyNumberFormat="1" applyFont="1" applyFill="1"/>
    <xf numFmtId="165" fontId="0" fillId="2" borderId="0" xfId="0" applyNumberFormat="1" applyFill="1"/>
    <xf numFmtId="173" fontId="5" fillId="0" borderId="0" xfId="0" applyNumberFormat="1" applyFont="1"/>
    <xf numFmtId="172" fontId="5" fillId="0" borderId="0" xfId="0" applyNumberFormat="1" applyFont="1"/>
    <xf numFmtId="171" fontId="5" fillId="0" borderId="0" xfId="0" applyNumberFormat="1" applyFont="1"/>
    <xf numFmtId="2" fontId="0" fillId="2" borderId="0" xfId="0" applyNumberFormat="1" applyFill="1"/>
    <xf numFmtId="174" fontId="5" fillId="3" borderId="0" xfId="0" applyNumberFormat="1" applyFont="1" applyFill="1"/>
    <xf numFmtId="175" fontId="5" fillId="3" borderId="0" xfId="0" applyNumberFormat="1" applyFont="1" applyFill="1"/>
    <xf numFmtId="175" fontId="9" fillId="2" borderId="0" xfId="0" applyNumberFormat="1" applyFont="1" applyFill="1"/>
    <xf numFmtId="165" fontId="5" fillId="0" borderId="0" xfId="0" applyNumberFormat="1" applyFont="1"/>
    <xf numFmtId="164" fontId="0" fillId="0" borderId="0" xfId="0" applyNumberFormat="1"/>
    <xf numFmtId="0" fontId="11" fillId="0" borderId="0" xfId="0" applyFont="1"/>
    <xf numFmtId="0" fontId="5" fillId="0" borderId="0" xfId="0" applyFont="1"/>
    <xf numFmtId="165" fontId="5" fillId="3" borderId="8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0" fontId="12" fillId="0" borderId="0" xfId="0" applyFont="1"/>
    <xf numFmtId="170" fontId="0" fillId="2" borderId="0" xfId="0" applyNumberFormat="1" applyFill="1"/>
    <xf numFmtId="170" fontId="5" fillId="0" borderId="0" xfId="0" applyNumberFormat="1" applyFont="1"/>
    <xf numFmtId="0" fontId="5" fillId="0" borderId="3" xfId="0" applyFont="1" applyBorder="1"/>
    <xf numFmtId="167" fontId="0" fillId="2" borderId="0" xfId="0" applyNumberFormat="1" applyFill="1"/>
    <xf numFmtId="176" fontId="0" fillId="2" borderId="8" xfId="0" applyNumberFormat="1" applyFill="1" applyBorder="1"/>
    <xf numFmtId="177" fontId="0" fillId="0" borderId="0" xfId="0" applyNumberFormat="1" applyAlignment="1">
      <alignment horizontal="center"/>
    </xf>
    <xf numFmtId="0" fontId="13" fillId="0" borderId="0" xfId="0" applyFont="1"/>
    <xf numFmtId="0" fontId="3" fillId="0" borderId="0" xfId="0" applyFont="1"/>
    <xf numFmtId="165" fontId="14" fillId="0" borderId="0" xfId="0" applyNumberFormat="1" applyFont="1"/>
    <xf numFmtId="165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28</xdr:row>
      <xdr:rowOff>104775</xdr:rowOff>
    </xdr:from>
    <xdr:to>
      <xdr:col>13</xdr:col>
      <xdr:colOff>0</xdr:colOff>
      <xdr:row>41</xdr:row>
      <xdr:rowOff>9525</xdr:rowOff>
    </xdr:to>
    <xdr:sp macro="" textlink="">
      <xdr:nvSpPr>
        <xdr:cNvPr id="4097" name="Text 1">
          <a:extLst>
            <a:ext uri="{FF2B5EF4-FFF2-40B4-BE49-F238E27FC236}">
              <a16:creationId xmlns:a16="http://schemas.microsoft.com/office/drawing/2014/main" id="{6D05E3F7-2CEB-40B3-8308-E6659C7DDE2D}"/>
            </a:ext>
          </a:extLst>
        </xdr:cNvPr>
        <xdr:cNvSpPr txBox="1">
          <a:spLocks noChangeArrowheads="1"/>
        </xdr:cNvSpPr>
      </xdr:nvSpPr>
      <xdr:spPr bwMode="auto">
        <a:xfrm>
          <a:off x="266700" y="4743450"/>
          <a:ext cx="8534400" cy="2009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 of the ellipsoid associated with the input coordinates in C18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semi major axis (metres) and inverse flattening of the input ellipsoid in D19:D20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Enter the name of the ellipsoid associated with the output coordinates in C23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Enter the semi major axis (metres) and inverse flattening of the output ellipsoid in D24:D25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Enter the 7 transformation parameters in H18:H24. Note: for a 3-parameter datum trnasformation leave H21:H24 to 0.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Enter the latitude in D8:G8 (south latitudes must have a "S")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7. Enter the longitude in D9:g9 (west longitudes must have a "W")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8. Enter the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ellipsoidal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height (metres) in D9 (note that it must be the ELLIPSOIDAL height)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9. Read the resulting latitude, longitude and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ellipsoidal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height from J8:M10 (note that it is the ELLIPSOIDAL height)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 see the intermediate calculations, look on the additional pages </a:t>
          </a:r>
          <a:r>
            <a:rPr lang="en-US" sz="1000" b="0" i="0" u="none" strike="noStrike" baseline="0">
              <a:solidFill>
                <a:srgbClr val="FF00FF"/>
              </a:solidFill>
              <a:latin typeface="Arial"/>
              <a:cs typeface="Arial"/>
            </a:rPr>
            <a:t>(DO NOT DELETE THOSE!)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18</xdr:row>
      <xdr:rowOff>104775</xdr:rowOff>
    </xdr:from>
    <xdr:to>
      <xdr:col>12</xdr:col>
      <xdr:colOff>819150</xdr:colOff>
      <xdr:row>28</xdr:row>
      <xdr:rowOff>123825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F9F76F94-8903-484E-8393-5D52686541A6}"/>
            </a:ext>
          </a:extLst>
        </xdr:cNvPr>
        <xdr:cNvSpPr txBox="1">
          <a:spLocks noChangeArrowheads="1"/>
        </xdr:cNvSpPr>
      </xdr:nvSpPr>
      <xdr:spPr bwMode="auto">
        <a:xfrm>
          <a:off x="266700" y="2590800"/>
          <a:ext cx="5619750" cy="1638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 of the ellipsoid associated with the geodetic coordinates in C12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semi major axis (metres) and inverse flattening of the associated ellipsoid in D13:D14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Enter the latitude in D7:F7 (south latitudes are negative)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Enter the longitude in D8:D7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Enter the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ellipsoidal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height (metres) in D9 (note that it must be the ELLIPSOIDAL height)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Note the Earth-centred Cartesian coordinates (metres) from M7:M9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 see the intermediate calculations, use Excel's outlining tool to show the hidden rows.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37</xdr:row>
      <xdr:rowOff>0</xdr:rowOff>
    </xdr:from>
    <xdr:to>
      <xdr:col>8</xdr:col>
      <xdr:colOff>352425</xdr:colOff>
      <xdr:row>47</xdr:row>
      <xdr:rowOff>85725</xdr:rowOff>
    </xdr:to>
    <xdr:sp macro="" textlink="">
      <xdr:nvSpPr>
        <xdr:cNvPr id="2068" name="Text 20">
          <a:extLst>
            <a:ext uri="{FF2B5EF4-FFF2-40B4-BE49-F238E27FC236}">
              <a16:creationId xmlns:a16="http://schemas.microsoft.com/office/drawing/2014/main" id="{CD48E4A7-28D2-40AC-B466-FDF297480748}"/>
            </a:ext>
          </a:extLst>
        </xdr:cNvPr>
        <xdr:cNvSpPr txBox="1">
          <a:spLocks noChangeArrowheads="1"/>
        </xdr:cNvSpPr>
      </xdr:nvSpPr>
      <xdr:spPr bwMode="auto">
        <a:xfrm>
          <a:off x="361950" y="3057525"/>
          <a:ext cx="4962525" cy="1704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 of the starting coordinate system in D5 (documentation only)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starting coordinates in D6:D8 (by default they will be tajken from the output of the Geodetic to Cartesian sheet.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Enter the name of the resulting coordinate system in K5 (documentation only)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Enter the 7 transformation parameters in G6:G12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Note the transformed position from K6:K8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Warning: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 careful of the sign convention for rotations. See the attached notes.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31</xdr:row>
      <xdr:rowOff>76200</xdr:rowOff>
    </xdr:from>
    <xdr:to>
      <xdr:col>9</xdr:col>
      <xdr:colOff>104775</xdr:colOff>
      <xdr:row>39</xdr:row>
      <xdr:rowOff>95250</xdr:rowOff>
    </xdr:to>
    <xdr:sp macro="" textlink="">
      <xdr:nvSpPr>
        <xdr:cNvPr id="3073" name="Text 1">
          <a:extLst>
            <a:ext uri="{FF2B5EF4-FFF2-40B4-BE49-F238E27FC236}">
              <a16:creationId xmlns:a16="http://schemas.microsoft.com/office/drawing/2014/main" id="{87244117-8B33-4ED5-B3E7-702EB3E8BF44}"/>
            </a:ext>
          </a:extLst>
        </xdr:cNvPr>
        <xdr:cNvSpPr txBox="1">
          <a:spLocks noChangeArrowheads="1"/>
        </xdr:cNvSpPr>
      </xdr:nvSpPr>
      <xdr:spPr bwMode="auto">
        <a:xfrm>
          <a:off x="285750" y="3209925"/>
          <a:ext cx="567690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the name of the reference ellipsoid in C11 (documentation only)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semi major axis (metres) and inverse flattening of the reference ellipsoid in D12 &amp; D13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Enter the XYZ coordinates in D6:D8 (by default they are taklen from the  transformation sheet)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Read the resulting latitude, longitude and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ellipsoidal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height from G6:I8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(note that it is the ELLIPSOIDAL height)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 see the intermediate calculations, use Excel's outlining tool to show the hidden rows.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showGridLines="0" tabSelected="1" showOutlineSymbols="0" zoomScale="80" workbookViewId="0">
      <selection activeCell="J9" sqref="J9"/>
    </sheetView>
  </sheetViews>
  <sheetFormatPr defaultRowHeight="12.75" outlineLevelRow="1" outlineLevelCol="1" x14ac:dyDescent="0.2"/>
  <cols>
    <col min="1" max="1" width="4.28515625" customWidth="1"/>
    <col min="2" max="2" width="4.7109375" customWidth="1"/>
    <col min="3" max="3" width="20.28515625" customWidth="1"/>
    <col min="4" max="4" width="15.140625" customWidth="1"/>
    <col min="5" max="5" width="7.85546875" customWidth="1"/>
    <col min="6" max="6" width="10.5703125" customWidth="1"/>
    <col min="7" max="7" width="5.140625" customWidth="1"/>
    <col min="8" max="8" width="11.5703125" customWidth="1" outlineLevel="1"/>
    <col min="9" max="9" width="18.85546875" customWidth="1" outlineLevel="1"/>
    <col min="10" max="10" width="12" customWidth="1" outlineLevel="1"/>
    <col min="11" max="11" width="6" customWidth="1"/>
    <col min="12" max="12" width="10.28515625" customWidth="1"/>
    <col min="13" max="13" width="3.7109375" customWidth="1"/>
    <col min="15" max="15" width="3.5703125" customWidth="1"/>
  </cols>
  <sheetData>
    <row r="1" spans="2:15" ht="13.5" thickBot="1" x14ac:dyDescent="0.25"/>
    <row r="2" spans="2:15" x14ac:dyDescent="0.2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2:15" ht="18" x14ac:dyDescent="0.25">
      <c r="B3" s="7"/>
      <c r="C3" s="67" t="s">
        <v>56</v>
      </c>
      <c r="O3" s="8"/>
    </row>
    <row r="4" spans="2:15" x14ac:dyDescent="0.2">
      <c r="B4" s="7"/>
      <c r="O4" s="8"/>
    </row>
    <row r="5" spans="2:15" x14ac:dyDescent="0.2">
      <c r="B5" s="7"/>
      <c r="D5" s="30" t="s">
        <v>19</v>
      </c>
      <c r="J5" s="44" t="s">
        <v>20</v>
      </c>
      <c r="O5" s="8"/>
    </row>
    <row r="6" spans="2:15" x14ac:dyDescent="0.2">
      <c r="B6" s="7"/>
      <c r="D6" s="1" t="s">
        <v>1</v>
      </c>
      <c r="E6" s="1" t="s">
        <v>2</v>
      </c>
      <c r="F6" s="1" t="s">
        <v>3</v>
      </c>
      <c r="G6" s="1"/>
      <c r="J6" s="1" t="s">
        <v>1</v>
      </c>
      <c r="K6" s="1" t="s">
        <v>2</v>
      </c>
      <c r="L6" s="2" t="s">
        <v>46</v>
      </c>
      <c r="O6" s="8"/>
    </row>
    <row r="7" spans="2:15" x14ac:dyDescent="0.2">
      <c r="B7" s="7"/>
      <c r="C7" t="s">
        <v>7</v>
      </c>
      <c r="D7" s="48">
        <v>63</v>
      </c>
      <c r="E7" s="49">
        <v>43</v>
      </c>
      <c r="F7" s="50">
        <v>14.64</v>
      </c>
      <c r="G7" s="50" t="s">
        <v>62</v>
      </c>
      <c r="I7" t="str">
        <f>'Cartesian to geodetic'!F6</f>
        <v>Latitude</v>
      </c>
      <c r="J7" s="55">
        <f>'Cartesian to geodetic'!G6</f>
        <v>63</v>
      </c>
      <c r="K7" s="54">
        <f>'Cartesian to geodetic'!H6</f>
        <v>43</v>
      </c>
      <c r="L7" s="53">
        <f>'Cartesian to geodetic'!I6</f>
        <v>14.592014921491314</v>
      </c>
      <c r="M7" s="63" t="str">
        <f>'Cartesian to geodetic'!J6</f>
        <v>N</v>
      </c>
      <c r="O7" s="8"/>
    </row>
    <row r="8" spans="2:15" x14ac:dyDescent="0.2">
      <c r="B8" s="7"/>
      <c r="C8" t="s">
        <v>9</v>
      </c>
      <c r="D8" s="68">
        <v>68</v>
      </c>
      <c r="E8" s="49">
        <v>31</v>
      </c>
      <c r="F8" s="50">
        <v>20.85</v>
      </c>
      <c r="G8" s="50" t="s">
        <v>64</v>
      </c>
      <c r="I8" t="str">
        <f>'Cartesian to geodetic'!F7</f>
        <v>Longitude</v>
      </c>
      <c r="J8" s="69">
        <f>'Cartesian to geodetic'!G7</f>
        <v>68</v>
      </c>
      <c r="K8" s="54">
        <f>'Cartesian to geodetic'!H7</f>
        <v>31</v>
      </c>
      <c r="L8" s="53">
        <f>'Cartesian to geodetic'!I7</f>
        <v>20.806391377671886</v>
      </c>
      <c r="M8" s="63" t="str">
        <f>'Cartesian to geodetic'!J7</f>
        <v>W</v>
      </c>
      <c r="O8" s="8"/>
    </row>
    <row r="9" spans="2:15" x14ac:dyDescent="0.2">
      <c r="B9" s="7"/>
      <c r="C9" t="s">
        <v>11</v>
      </c>
      <c r="D9" s="5">
        <v>0</v>
      </c>
      <c r="E9" t="s">
        <v>49</v>
      </c>
      <c r="I9" t="str">
        <f>'Cartesian to geodetic'!F8</f>
        <v>Ellipsoidal height</v>
      </c>
      <c r="J9" s="76">
        <f>'Cartesian to geodetic'!I8</f>
        <v>0.45249101705849171</v>
      </c>
      <c r="K9" s="63" t="s">
        <v>49</v>
      </c>
      <c r="L9" s="63"/>
      <c r="O9" s="8"/>
    </row>
    <row r="10" spans="2:15" x14ac:dyDescent="0.2">
      <c r="B10" s="7"/>
      <c r="H10" s="62" t="s">
        <v>66</v>
      </c>
      <c r="I10" s="75"/>
      <c r="J10" s="77">
        <f>J9*3937/1200</f>
        <v>1.4845476117994016</v>
      </c>
      <c r="K10" s="74" t="s">
        <v>65</v>
      </c>
      <c r="O10" s="8"/>
    </row>
    <row r="11" spans="2:15" ht="13.5" thickBot="1" x14ac:dyDescent="0.2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4"/>
      <c r="N11" s="37"/>
      <c r="O11" s="42"/>
    </row>
    <row r="12" spans="2:15" ht="13.5" thickBot="1" x14ac:dyDescent="0.25">
      <c r="B12" s="26"/>
      <c r="M12" s="35"/>
      <c r="O12" s="26"/>
    </row>
    <row r="13" spans="2:15" x14ac:dyDescent="0.2">
      <c r="B13" s="25"/>
      <c r="C13" s="26"/>
      <c r="D13" s="26"/>
      <c r="E13" s="26"/>
      <c r="F13" s="26"/>
      <c r="G13" s="26"/>
      <c r="H13" s="26"/>
      <c r="I13" s="27"/>
      <c r="M13" s="35"/>
    </row>
    <row r="14" spans="2:15" x14ac:dyDescent="0.2">
      <c r="B14" s="7"/>
      <c r="C14" s="62" t="s">
        <v>55</v>
      </c>
      <c r="I14" s="8"/>
      <c r="K14" s="65" t="s">
        <v>19</v>
      </c>
    </row>
    <row r="15" spans="2:15" x14ac:dyDescent="0.2">
      <c r="B15" s="7"/>
      <c r="D15" s="61"/>
      <c r="I15" s="8"/>
      <c r="K15" s="66" t="s">
        <v>20</v>
      </c>
    </row>
    <row r="16" spans="2:15" x14ac:dyDescent="0.2">
      <c r="B16" s="7"/>
      <c r="C16" s="29" t="s">
        <v>59</v>
      </c>
      <c r="F16" s="62" t="s">
        <v>57</v>
      </c>
      <c r="G16" s="62"/>
      <c r="I16" s="8"/>
    </row>
    <row r="17" spans="2:11" x14ac:dyDescent="0.2">
      <c r="B17" s="7"/>
      <c r="C17" s="46" t="s">
        <v>67</v>
      </c>
      <c r="F17" s="1" t="str">
        <f>'7 parameter transformation'!F6</f>
        <v>DX</v>
      </c>
      <c r="H17" s="46">
        <v>1.01</v>
      </c>
      <c r="I17" s="8" t="str">
        <f>'7 parameter transformation'!H6</f>
        <v>(metres)</v>
      </c>
    </row>
    <row r="18" spans="2:11" x14ac:dyDescent="0.2">
      <c r="B18" s="7"/>
      <c r="C18" t="s">
        <v>14</v>
      </c>
      <c r="D18" s="56">
        <v>6378137</v>
      </c>
      <c r="F18" s="1" t="str">
        <f>'7 parameter transformation'!F7</f>
        <v>DY</v>
      </c>
      <c r="H18" s="46">
        <v>-1.9157999999999999</v>
      </c>
      <c r="I18" s="8" t="str">
        <f>'7 parameter transformation'!H7</f>
        <v>(metres)</v>
      </c>
    </row>
    <row r="19" spans="2:11" outlineLevel="1" x14ac:dyDescent="0.2">
      <c r="B19" s="7"/>
      <c r="C19" t="s">
        <v>15</v>
      </c>
      <c r="D19" s="71">
        <v>298.25722356300003</v>
      </c>
      <c r="F19" s="1" t="str">
        <f>'7 parameter transformation'!F8</f>
        <v>DZ</v>
      </c>
      <c r="H19" s="46">
        <v>-0.55740000000000001</v>
      </c>
      <c r="I19" s="8" t="str">
        <f>'7 parameter transformation'!H8</f>
        <v>(metres)</v>
      </c>
    </row>
    <row r="20" spans="2:11" outlineLevel="1" x14ac:dyDescent="0.2">
      <c r="B20" s="7"/>
      <c r="F20" s="1" t="str">
        <f>'7 parameter transformation'!F9</f>
        <v>RX</v>
      </c>
      <c r="H20" s="46">
        <v>2.75E-2</v>
      </c>
      <c r="I20" s="8" t="str">
        <f>'7 parameter transformation'!H9</f>
        <v>(seconds)</v>
      </c>
    </row>
    <row r="21" spans="2:11" outlineLevel="1" x14ac:dyDescent="0.2">
      <c r="B21" s="7"/>
      <c r="C21" s="29" t="s">
        <v>60</v>
      </c>
      <c r="F21" s="1" t="str">
        <f>'7 parameter transformation'!F10</f>
        <v>RY</v>
      </c>
      <c r="H21" s="46">
        <v>-8.6999999999999994E-3</v>
      </c>
      <c r="I21" s="8" t="str">
        <f>'7 parameter transformation'!H10</f>
        <v>(seconds)</v>
      </c>
    </row>
    <row r="22" spans="2:11" outlineLevel="1" x14ac:dyDescent="0.2">
      <c r="B22" s="7"/>
      <c r="C22" s="46" t="s">
        <v>63</v>
      </c>
      <c r="F22" s="1" t="str">
        <f>'7 parameter transformation'!F11</f>
        <v>RZ</v>
      </c>
      <c r="H22" s="46">
        <v>1.03E-2</v>
      </c>
      <c r="I22" s="8" t="str">
        <f>'7 parameter transformation'!H11</f>
        <v>(seconds)</v>
      </c>
      <c r="K22" s="47"/>
    </row>
    <row r="23" spans="2:11" outlineLevel="1" x14ac:dyDescent="0.2">
      <c r="B23" s="7"/>
      <c r="C23" t="str">
        <f>'Cartesian to geodetic'!C12</f>
        <v>Semi major axis (a)</v>
      </c>
      <c r="D23" s="56">
        <v>6378137</v>
      </c>
      <c r="F23" s="1" t="str">
        <f>'7 parameter transformation'!F12</f>
        <v>Sc</v>
      </c>
      <c r="H23" s="46">
        <v>-4.2299999999999998E-4</v>
      </c>
      <c r="I23" s="8" t="str">
        <f>'7 parameter transformation'!H12</f>
        <v>(ppm)</v>
      </c>
    </row>
    <row r="24" spans="2:11" outlineLevel="1" x14ac:dyDescent="0.2">
      <c r="B24" s="7"/>
      <c r="C24" t="str">
        <f>'Cartesian to geodetic'!C13</f>
        <v>Inverse flattening (1/f)</v>
      </c>
      <c r="D24" s="71">
        <v>298.25722210100002</v>
      </c>
      <c r="I24" s="8"/>
    </row>
    <row r="25" spans="2:11" outlineLevel="1" x14ac:dyDescent="0.2">
      <c r="B25" s="7"/>
      <c r="C25" s="47"/>
      <c r="I25" s="8"/>
    </row>
    <row r="26" spans="2:11" ht="13.5" outlineLevel="1" thickBot="1" x14ac:dyDescent="0.25">
      <c r="B26" s="36"/>
      <c r="C26" s="37"/>
      <c r="D26" s="37"/>
      <c r="E26" s="37"/>
      <c r="F26" s="37"/>
      <c r="G26" s="37"/>
      <c r="H26" s="37"/>
      <c r="I26" s="42"/>
    </row>
    <row r="27" spans="2:11" outlineLevel="1" x14ac:dyDescent="0.2"/>
    <row r="28" spans="2:11" collapsed="1" x14ac:dyDescent="0.2"/>
  </sheetData>
  <phoneticPr fontId="0" type="noConversion"/>
  <printOptions gridLinesSet="0"/>
  <pageMargins left="0.75" right="0.75" top="1" bottom="1" header="0.5" footer="0.5"/>
  <pageSetup paperSize="9" scale="83" orientation="landscape" r:id="rId1"/>
  <headerFooter alignWithMargins="0">
    <oddFooter>&amp;Chttp://www.geocities.com/neacsum&amp;R&amp;D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1"/>
  <sheetViews>
    <sheetView showGridLines="0" showOutlineSymbols="0" zoomScale="80" workbookViewId="0">
      <selection activeCell="M9" sqref="M9"/>
    </sheetView>
  </sheetViews>
  <sheetFormatPr defaultRowHeight="12.75" outlineLevelRow="1" outlineLevelCol="1" x14ac:dyDescent="0.2"/>
  <cols>
    <col min="1" max="1" width="4.28515625" customWidth="1"/>
    <col min="2" max="2" width="4.7109375" customWidth="1"/>
    <col min="3" max="3" width="20.28515625" customWidth="1"/>
    <col min="4" max="4" width="15.140625" customWidth="1"/>
    <col min="5" max="5" width="6" customWidth="1"/>
    <col min="6" max="6" width="10.5703125" customWidth="1"/>
    <col min="7" max="7" width="3.85546875" customWidth="1"/>
    <col min="8" max="8" width="11.140625" hidden="1" customWidth="1" outlineLevel="1"/>
    <col min="9" max="9" width="12.7109375" hidden="1" customWidth="1" outlineLevel="1"/>
    <col min="10" max="10" width="0" hidden="1" customWidth="1" outlineLevel="1"/>
    <col min="11" max="11" width="9.140625" collapsed="1"/>
    <col min="12" max="12" width="5.140625" customWidth="1"/>
    <col min="13" max="13" width="14.85546875" customWidth="1"/>
    <col min="15" max="15" width="3.5703125" customWidth="1"/>
  </cols>
  <sheetData>
    <row r="1" spans="2:15" ht="13.5" thickBot="1" x14ac:dyDescent="0.25"/>
    <row r="2" spans="2:15" x14ac:dyDescent="0.2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2:15" ht="15.75" x14ac:dyDescent="0.25">
      <c r="B3" s="7"/>
      <c r="C3" s="45" t="s">
        <v>0</v>
      </c>
      <c r="O3" s="8"/>
    </row>
    <row r="4" spans="2:15" x14ac:dyDescent="0.2">
      <c r="B4" s="7"/>
      <c r="O4" s="8"/>
    </row>
    <row r="5" spans="2:15" x14ac:dyDescent="0.2">
      <c r="B5" s="7"/>
      <c r="O5" s="8"/>
    </row>
    <row r="6" spans="2:15" x14ac:dyDescent="0.2">
      <c r="B6" s="7"/>
      <c r="D6" s="1" t="s">
        <v>1</v>
      </c>
      <c r="E6" s="1" t="s">
        <v>2</v>
      </c>
      <c r="F6" s="1" t="s">
        <v>3</v>
      </c>
      <c r="G6" s="1"/>
      <c r="H6" t="s">
        <v>4</v>
      </c>
      <c r="I6" t="s">
        <v>5</v>
      </c>
      <c r="J6" t="s">
        <v>6</v>
      </c>
      <c r="L6" t="s">
        <v>61</v>
      </c>
      <c r="O6" s="8"/>
    </row>
    <row r="7" spans="2:15" x14ac:dyDescent="0.2">
      <c r="B7" s="7"/>
      <c r="C7" t="s">
        <v>7</v>
      </c>
      <c r="D7" s="48">
        <f>'Datum Transformation'!D7</f>
        <v>63</v>
      </c>
      <c r="E7" s="49">
        <f>'Datum Transformation'!E7</f>
        <v>43</v>
      </c>
      <c r="F7" s="50">
        <f>'Datum Transformation'!F7</f>
        <v>14.64</v>
      </c>
      <c r="G7" s="50" t="str">
        <f>'Datum Transformation'!G7</f>
        <v>N</v>
      </c>
      <c r="H7">
        <f>ABS(D7)+ABS(E7/60)+ABS(F7/3600)</f>
        <v>63.720733333333335</v>
      </c>
      <c r="I7">
        <f>IF(G7="S", -H7,H7)</f>
        <v>63.720733333333335</v>
      </c>
      <c r="J7">
        <f>(I7/180)*PI()</f>
        <v>1.112136598451968</v>
      </c>
      <c r="L7" t="s">
        <v>8</v>
      </c>
      <c r="M7" s="58">
        <f>(D17+D9)*COS(J7)*COS(J8)</f>
        <v>1036726.3219364218</v>
      </c>
      <c r="O7" s="8"/>
    </row>
    <row r="8" spans="2:15" x14ac:dyDescent="0.2">
      <c r="B8" s="7"/>
      <c r="C8" t="s">
        <v>9</v>
      </c>
      <c r="D8" s="68">
        <f>'Datum Transformation'!D8</f>
        <v>68</v>
      </c>
      <c r="E8" s="49">
        <f>'Datum Transformation'!E8</f>
        <v>31</v>
      </c>
      <c r="F8" s="50">
        <f>'Datum Transformation'!F8</f>
        <v>20.85</v>
      </c>
      <c r="G8" s="50" t="str">
        <f>'Datum Transformation'!G8</f>
        <v>W</v>
      </c>
      <c r="H8">
        <f>ABS(D8)+ABS(E8/60)+ABS(F8/3600)</f>
        <v>68.522458333333333</v>
      </c>
      <c r="I8">
        <f>IF(G8="W",-H8,H8)</f>
        <v>-68.522458333333333</v>
      </c>
      <c r="J8">
        <f>(I8/180)*PI()</f>
        <v>-1.1959425094772929</v>
      </c>
      <c r="L8" t="s">
        <v>10</v>
      </c>
      <c r="M8" s="58">
        <f>(D17+D9)*COS(J7)*SIN(J8)</f>
        <v>-2634911.4070621105</v>
      </c>
      <c r="O8" s="8"/>
    </row>
    <row r="9" spans="2:15" x14ac:dyDescent="0.2">
      <c r="B9" s="7"/>
      <c r="C9" t="s">
        <v>11</v>
      </c>
      <c r="D9" s="52">
        <f>'Datum Transformation'!D9</f>
        <v>0</v>
      </c>
      <c r="E9" t="s">
        <v>49</v>
      </c>
      <c r="L9" t="s">
        <v>12</v>
      </c>
      <c r="M9" s="57">
        <f>((1-D16)*D17+D9)*SIN(J7)</f>
        <v>5695999.7353832796</v>
      </c>
      <c r="O9" s="8"/>
    </row>
    <row r="10" spans="2:15" x14ac:dyDescent="0.2">
      <c r="B10" s="7"/>
      <c r="O10" s="8"/>
    </row>
    <row r="11" spans="2:15" x14ac:dyDescent="0.2">
      <c r="B11" s="7"/>
      <c r="C11" s="29" t="s">
        <v>13</v>
      </c>
      <c r="M11" s="35"/>
      <c r="O11" s="8"/>
    </row>
    <row r="12" spans="2:15" x14ac:dyDescent="0.2">
      <c r="B12" s="7"/>
      <c r="C12" s="46" t="str">
        <f>'Datum Transformation'!C17</f>
        <v>WGS84</v>
      </c>
      <c r="M12" s="35"/>
      <c r="O12" s="8"/>
    </row>
    <row r="13" spans="2:15" x14ac:dyDescent="0.2">
      <c r="B13" s="7"/>
      <c r="C13" t="s">
        <v>14</v>
      </c>
      <c r="D13" s="56">
        <f>'Datum Transformation'!D18</f>
        <v>6378137</v>
      </c>
      <c r="M13" s="35"/>
      <c r="O13" s="8"/>
    </row>
    <row r="14" spans="2:15" ht="13.5" thickBot="1" x14ac:dyDescent="0.25">
      <c r="B14" s="36"/>
      <c r="C14" s="37" t="s">
        <v>15</v>
      </c>
      <c r="D14" s="72">
        <f>'Datum Transformation'!D19</f>
        <v>298.25722356300003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42"/>
    </row>
    <row r="15" spans="2:15" hidden="1" outlineLevel="1" x14ac:dyDescent="0.2">
      <c r="C15" t="s">
        <v>16</v>
      </c>
      <c r="D15">
        <f>1/D14</f>
        <v>3.3528106647474805E-3</v>
      </c>
    </row>
    <row r="16" spans="2:15" ht="14.25" hidden="1" outlineLevel="1" x14ac:dyDescent="0.2">
      <c r="C16" t="s">
        <v>17</v>
      </c>
      <c r="D16">
        <f>2*D15-D15*D15</f>
        <v>6.6943799901413165E-3</v>
      </c>
    </row>
    <row r="17" spans="3:14" hidden="1" outlineLevel="1" x14ac:dyDescent="0.2">
      <c r="C17" s="47" t="s">
        <v>18</v>
      </c>
      <c r="D17">
        <f>D13/SQRT(1-D16*SIN(J7)*SIN(J7))</f>
        <v>6395370.5332930638</v>
      </c>
    </row>
    <row r="18" spans="3:14" collapsed="1" x14ac:dyDescent="0.2"/>
    <row r="20" spans="3:14" x14ac:dyDescent="0.2">
      <c r="N20" s="30" t="s">
        <v>19</v>
      </c>
    </row>
    <row r="21" spans="3:14" x14ac:dyDescent="0.2">
      <c r="N21" s="44" t="s">
        <v>20</v>
      </c>
    </row>
  </sheetData>
  <phoneticPr fontId="0" type="noConversion"/>
  <printOptions gridLinesSet="0"/>
  <pageMargins left="0.75" right="0.75" top="1" bottom="1" header="0.5" footer="0.5"/>
  <pageSetup paperSize="9" orientation="landscape" horizontalDpi="0" verticalDpi="0" r:id="rId1"/>
  <headerFooter alignWithMargins="0">
    <oddHeader>&amp;CGeodetic (Lat, Long, Ellip Ht.) to Cartesian (XYZ)</oddHeader>
    <oddFooter>&amp;Chttp://www.anzlic.org.au/icsm/gdatm.htm&amp;R&amp;D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38"/>
  <sheetViews>
    <sheetView showGridLines="0" showOutlineSymbols="0" zoomScale="80" workbookViewId="0">
      <selection activeCell="K45" sqref="K45"/>
    </sheetView>
  </sheetViews>
  <sheetFormatPr defaultRowHeight="12.75" outlineLevelRow="1" x14ac:dyDescent="0.2"/>
  <cols>
    <col min="1" max="1" width="2.140625" customWidth="1"/>
    <col min="2" max="2" width="2" customWidth="1"/>
    <col min="3" max="3" width="8.42578125" customWidth="1"/>
    <col min="4" max="4" width="13.7109375" customWidth="1"/>
    <col min="5" max="5" width="12.85546875" customWidth="1"/>
    <col min="6" max="6" width="12.7109375" customWidth="1"/>
    <col min="7" max="7" width="14.28515625" customWidth="1"/>
    <col min="8" max="8" width="8.42578125" customWidth="1"/>
    <col min="9" max="10" width="14.28515625" customWidth="1"/>
    <col min="11" max="11" width="15.7109375" customWidth="1"/>
    <col min="12" max="12" width="2.140625" customWidth="1"/>
    <col min="13" max="13" width="13.140625" customWidth="1"/>
    <col min="14" max="14" width="12.140625" customWidth="1"/>
    <col min="15" max="15" width="7" customWidth="1"/>
    <col min="16" max="16" width="14.85546875" customWidth="1"/>
  </cols>
  <sheetData>
    <row r="1" spans="2:15" ht="15.75" customHeight="1" thickBot="1" x14ac:dyDescent="0.25"/>
    <row r="2" spans="2:15" ht="9.75" customHeight="1" x14ac:dyDescent="0.2">
      <c r="B2" s="25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5" ht="18" x14ac:dyDescent="0.25">
      <c r="B3" s="7"/>
      <c r="C3" s="28" t="s">
        <v>21</v>
      </c>
      <c r="L3" s="8"/>
    </row>
    <row r="4" spans="2:15" x14ac:dyDescent="0.2">
      <c r="B4" s="7"/>
      <c r="L4" s="8"/>
    </row>
    <row r="5" spans="2:15" x14ac:dyDescent="0.2">
      <c r="B5" s="7"/>
      <c r="C5" s="29" t="s">
        <v>22</v>
      </c>
      <c r="D5" s="30" t="str">
        <f>'Datum Transformation'!$C$17</f>
        <v>WGS84</v>
      </c>
      <c r="F5" s="23" t="s">
        <v>23</v>
      </c>
      <c r="G5" s="24"/>
      <c r="H5" s="24"/>
      <c r="I5" s="24"/>
      <c r="J5" s="31" t="s">
        <v>24</v>
      </c>
      <c r="K5" s="32" t="str">
        <f>'Datum Transformation'!$C$22</f>
        <v>GRS-80</v>
      </c>
      <c r="L5" s="8"/>
    </row>
    <row r="6" spans="2:15" ht="15.75" x14ac:dyDescent="0.3">
      <c r="B6" s="7"/>
      <c r="C6" s="1" t="s">
        <v>8</v>
      </c>
      <c r="D6" s="33">
        <f>'Geodetic to Cartesian'!M7</f>
        <v>1036726.3219364218</v>
      </c>
      <c r="E6" s="24"/>
      <c r="F6" s="1" t="s">
        <v>25</v>
      </c>
      <c r="G6" s="34">
        <f>'Datum Transformation'!H17</f>
        <v>1.01</v>
      </c>
      <c r="H6" s="43" t="s">
        <v>26</v>
      </c>
      <c r="J6" s="1" t="s">
        <v>27</v>
      </c>
      <c r="K6" s="35">
        <f>E31</f>
        <v>1036727.4401718293</v>
      </c>
      <c r="L6" s="70" t="s">
        <v>49</v>
      </c>
    </row>
    <row r="7" spans="2:15" ht="15.75" x14ac:dyDescent="0.3">
      <c r="B7" s="7"/>
      <c r="C7" s="1" t="s">
        <v>10</v>
      </c>
      <c r="D7" s="33">
        <f>'Geodetic to Cartesian'!M8</f>
        <v>-2634911.4070621105</v>
      </c>
      <c r="E7" s="5"/>
      <c r="F7" s="1" t="s">
        <v>28</v>
      </c>
      <c r="G7" s="34">
        <f>'Datum Transformation'!H18</f>
        <v>-1.9157999999999999</v>
      </c>
      <c r="H7" s="43" t="s">
        <v>26</v>
      </c>
      <c r="J7" s="1" t="s">
        <v>29</v>
      </c>
      <c r="K7" s="35">
        <f>E32</f>
        <v>-2634912.6141051752</v>
      </c>
      <c r="L7" s="70" t="s">
        <v>49</v>
      </c>
      <c r="O7" s="11"/>
    </row>
    <row r="8" spans="2:15" ht="15.75" x14ac:dyDescent="0.3">
      <c r="B8" s="7"/>
      <c r="C8" s="1" t="s">
        <v>12</v>
      </c>
      <c r="D8" s="33">
        <f>'Geodetic to Cartesian'!M9</f>
        <v>5695999.7353832796</v>
      </c>
      <c r="E8" s="5"/>
      <c r="F8" s="1" t="s">
        <v>30</v>
      </c>
      <c r="G8" s="34">
        <f>'Datum Transformation'!H19</f>
        <v>-0.55740000000000001</v>
      </c>
      <c r="H8" s="43" t="s">
        <v>26</v>
      </c>
      <c r="J8" s="1" t="s">
        <v>31</v>
      </c>
      <c r="K8" s="35">
        <f>E33</f>
        <v>5695999.4831422679</v>
      </c>
      <c r="L8" s="70" t="s">
        <v>49</v>
      </c>
      <c r="O8" s="11"/>
    </row>
    <row r="9" spans="2:15" ht="15.75" x14ac:dyDescent="0.3">
      <c r="B9" s="7"/>
      <c r="E9" s="5"/>
      <c r="F9" s="1" t="s">
        <v>32</v>
      </c>
      <c r="G9" s="34">
        <f>'Datum Transformation'!H20</f>
        <v>2.75E-2</v>
      </c>
      <c r="H9" s="43" t="s">
        <v>33</v>
      </c>
      <c r="K9" s="2"/>
      <c r="L9" s="8"/>
      <c r="O9" s="11"/>
    </row>
    <row r="10" spans="2:15" ht="15.75" x14ac:dyDescent="0.3">
      <c r="B10" s="7"/>
      <c r="E10" s="5"/>
      <c r="F10" s="1" t="s">
        <v>34</v>
      </c>
      <c r="G10" s="34">
        <f>'Datum Transformation'!H21</f>
        <v>-8.6999999999999994E-3</v>
      </c>
      <c r="H10" s="43" t="s">
        <v>33</v>
      </c>
      <c r="I10" s="4"/>
      <c r="J10" s="2"/>
      <c r="K10" s="2"/>
      <c r="L10" s="8"/>
      <c r="O10" s="11"/>
    </row>
    <row r="11" spans="2:15" ht="15.75" x14ac:dyDescent="0.3">
      <c r="B11" s="7"/>
      <c r="E11" s="5"/>
      <c r="F11" s="1" t="s">
        <v>35</v>
      </c>
      <c r="G11" s="34">
        <f>'Datum Transformation'!H22</f>
        <v>1.03E-2</v>
      </c>
      <c r="H11" s="43" t="s">
        <v>33</v>
      </c>
      <c r="I11" s="4"/>
      <c r="J11" s="2"/>
      <c r="K11" s="2"/>
      <c r="L11" s="8"/>
      <c r="O11" s="11"/>
    </row>
    <row r="12" spans="2:15" x14ac:dyDescent="0.2">
      <c r="B12" s="7"/>
      <c r="E12" s="5"/>
      <c r="F12" s="1" t="s">
        <v>36</v>
      </c>
      <c r="G12" s="34">
        <f>'Datum Transformation'!H23</f>
        <v>-4.2299999999999998E-4</v>
      </c>
      <c r="H12" s="43" t="s">
        <v>37</v>
      </c>
      <c r="I12" s="4"/>
      <c r="J12" s="2"/>
      <c r="K12" s="2"/>
      <c r="L12" s="8"/>
      <c r="O12" s="11"/>
    </row>
    <row r="13" spans="2:15" ht="13.5" thickBot="1" x14ac:dyDescent="0.25">
      <c r="B13" s="36"/>
      <c r="C13" s="37"/>
      <c r="D13" s="37"/>
      <c r="E13" s="38"/>
      <c r="F13" s="39"/>
      <c r="G13" s="39"/>
      <c r="H13" s="40"/>
      <c r="I13" s="41"/>
      <c r="J13" s="39"/>
      <c r="K13" s="39"/>
      <c r="L13" s="42"/>
      <c r="O13" s="11"/>
    </row>
    <row r="14" spans="2:15" hidden="1" outlineLevel="1" x14ac:dyDescent="0.2">
      <c r="E14" s="5"/>
      <c r="F14" s="1" t="s">
        <v>38</v>
      </c>
      <c r="G14" s="14">
        <f>((G9/3600)/180)*PI()</f>
        <v>1.3332376230512238E-7</v>
      </c>
      <c r="H14" s="1" t="s">
        <v>39</v>
      </c>
      <c r="I14" s="4"/>
      <c r="J14" s="2"/>
      <c r="K14" s="2"/>
      <c r="O14" s="11"/>
    </row>
    <row r="15" spans="2:15" hidden="1" outlineLevel="1" x14ac:dyDescent="0.2">
      <c r="E15" s="5"/>
      <c r="F15" s="1" t="s">
        <v>40</v>
      </c>
      <c r="G15" s="14">
        <f>((G10/3600)/180)*PI()</f>
        <v>-4.2178790256529635E-8</v>
      </c>
      <c r="H15" s="1" t="s">
        <v>39</v>
      </c>
      <c r="I15" s="4"/>
      <c r="J15" s="2"/>
      <c r="K15" s="2"/>
      <c r="O15" s="11"/>
    </row>
    <row r="16" spans="2:15" hidden="1" outlineLevel="1" x14ac:dyDescent="0.2">
      <c r="E16" s="5"/>
      <c r="F16" s="1" t="s">
        <v>41</v>
      </c>
      <c r="G16" s="14">
        <f>((G11/3600)/180)*PI()</f>
        <v>4.9935809154282207E-8</v>
      </c>
      <c r="H16" s="1" t="s">
        <v>39</v>
      </c>
      <c r="I16" s="4"/>
      <c r="J16" s="73">
        <f>G16</f>
        <v>4.9935809154282207E-8</v>
      </c>
      <c r="K16" s="2"/>
      <c r="O16" s="11"/>
    </row>
    <row r="17" spans="3:15" hidden="1" outlineLevel="1" x14ac:dyDescent="0.2">
      <c r="E17" s="5"/>
      <c r="F17" s="1" t="s">
        <v>42</v>
      </c>
      <c r="G17" s="14">
        <f>1+(G12/1000000)</f>
        <v>0.99999999957700003</v>
      </c>
      <c r="H17" s="1"/>
      <c r="I17" s="4"/>
      <c r="J17" s="2"/>
      <c r="K17" s="2"/>
      <c r="O17" s="11"/>
    </row>
    <row r="18" spans="3:15" hidden="1" outlineLevel="1" x14ac:dyDescent="0.2">
      <c r="E18" s="5"/>
      <c r="F18" s="2"/>
      <c r="G18" s="2"/>
      <c r="H18" s="1"/>
      <c r="I18" s="4"/>
      <c r="J18" s="2"/>
      <c r="K18" s="2"/>
      <c r="O18" s="11"/>
    </row>
    <row r="19" spans="3:15" hidden="1" outlineLevel="1" x14ac:dyDescent="0.2">
      <c r="C19" s="3" t="s">
        <v>27</v>
      </c>
      <c r="E19" s="10">
        <f>G6</f>
        <v>1.01</v>
      </c>
      <c r="F19" s="2" t="s">
        <v>43</v>
      </c>
      <c r="G19" s="13">
        <f>G17</f>
        <v>0.99999999957700003</v>
      </c>
      <c r="H19" s="9"/>
      <c r="I19" s="18">
        <f>COS(G15)*COS(G16)</f>
        <v>0.99999999999999789</v>
      </c>
      <c r="J19" s="15">
        <f>COS(G15)*SIN(G16)</f>
        <v>4.9935809154282141E-8</v>
      </c>
      <c r="K19" s="19">
        <f>-SIN(G15)</f>
        <v>4.2178790256529622E-8</v>
      </c>
      <c r="M19" s="6">
        <f>D6</f>
        <v>1036726.3219364218</v>
      </c>
    </row>
    <row r="20" spans="3:15" hidden="1" outlineLevel="1" x14ac:dyDescent="0.2">
      <c r="C20" s="3" t="s">
        <v>29</v>
      </c>
      <c r="D20" s="2" t="s">
        <v>44</v>
      </c>
      <c r="E20" s="10">
        <f>G7</f>
        <v>-1.9157999999999999</v>
      </c>
      <c r="I20" s="20">
        <f>SIN(G14)*SIN(G15)*COS(G16)-COS(G14)*SIN(G16)</f>
        <v>-4.9935814777716752E-8</v>
      </c>
      <c r="J20" s="21">
        <f>SIN(G14)*SIN(G15)*SIN(G16)+COS(G14)*COS(G16)</f>
        <v>0.9999999999999899</v>
      </c>
      <c r="K20" s="19">
        <f>SIN(G14)*COS(G15)</f>
        <v>1.3332376230512188E-7</v>
      </c>
      <c r="M20" s="6">
        <f>D7</f>
        <v>-2634911.4070621105</v>
      </c>
    </row>
    <row r="21" spans="3:15" hidden="1" outlineLevel="1" x14ac:dyDescent="0.2">
      <c r="C21" s="3" t="s">
        <v>31</v>
      </c>
      <c r="D21" s="2"/>
      <c r="E21" s="10">
        <f>G8</f>
        <v>-0.55740000000000001</v>
      </c>
      <c r="I21" s="20">
        <f>COS(G14)*SIN(G15)*COS(G16)+SIN(G14)*SIN(G16)</f>
        <v>-4.2178783598899242E-8</v>
      </c>
      <c r="J21" s="15">
        <f>COS(G14)*SIN(G15)*SIN(G16)-SIN(G14)*COS(G16)</f>
        <v>-1.3332376441135385E-7</v>
      </c>
      <c r="K21" s="22">
        <f>COS(G14)*COS(G15)</f>
        <v>0.99999999999999023</v>
      </c>
      <c r="M21" s="6">
        <f>D8</f>
        <v>5695999.7353832796</v>
      </c>
    </row>
    <row r="22" spans="3:15" hidden="1" outlineLevel="1" x14ac:dyDescent="0.2"/>
    <row r="23" spans="3:15" hidden="1" outlineLevel="1" x14ac:dyDescent="0.2">
      <c r="C23" s="3" t="s">
        <v>27</v>
      </c>
      <c r="E23" s="10">
        <f>G6</f>
        <v>1.01</v>
      </c>
      <c r="G23" s="15">
        <f>G17</f>
        <v>0.99999999957700003</v>
      </c>
      <c r="I23" s="6">
        <f>(I19*M19+J19*M20+K19*M21)</f>
        <v>1036726.4306103645</v>
      </c>
    </row>
    <row r="24" spans="3:15" hidden="1" outlineLevel="1" x14ac:dyDescent="0.2">
      <c r="C24" s="3" t="s">
        <v>29</v>
      </c>
      <c r="D24" s="2" t="s">
        <v>44</v>
      </c>
      <c r="E24" s="10">
        <f>G7</f>
        <v>-1.9157999999999999</v>
      </c>
      <c r="F24" s="2" t="s">
        <v>43</v>
      </c>
      <c r="I24" s="6">
        <f>(I20*M19+J20*M20+K20*M21)</f>
        <v>-2634910.6994197425</v>
      </c>
      <c r="M24" s="5"/>
    </row>
    <row r="25" spans="3:15" hidden="1" outlineLevel="1" x14ac:dyDescent="0.2">
      <c r="C25" s="3" t="s">
        <v>31</v>
      </c>
      <c r="D25" s="2"/>
      <c r="E25" s="10">
        <f>G8</f>
        <v>-0.55740000000000001</v>
      </c>
      <c r="I25" s="6">
        <f>(I21*M19+J21*M20+K21*M21)</f>
        <v>5696000.0429516761</v>
      </c>
      <c r="M25" s="5"/>
    </row>
    <row r="26" spans="3:15" hidden="1" outlineLevel="1" x14ac:dyDescent="0.2">
      <c r="C26" s="2"/>
      <c r="D26" s="2"/>
      <c r="E26" s="16"/>
      <c r="I26" s="5"/>
      <c r="M26" s="5"/>
    </row>
    <row r="27" spans="3:15" hidden="1" outlineLevel="1" x14ac:dyDescent="0.2">
      <c r="C27" s="3" t="s">
        <v>27</v>
      </c>
      <c r="E27" s="10">
        <f>G6</f>
        <v>1.01</v>
      </c>
      <c r="G27" s="17">
        <f>G23*I23</f>
        <v>1036726.4301718293</v>
      </c>
      <c r="I27" s="5"/>
      <c r="M27" s="5"/>
    </row>
    <row r="28" spans="3:15" hidden="1" outlineLevel="1" x14ac:dyDescent="0.2">
      <c r="C28" s="3" t="s">
        <v>29</v>
      </c>
      <c r="D28" s="2" t="s">
        <v>44</v>
      </c>
      <c r="E28" s="10">
        <f>G7</f>
        <v>-1.9157999999999999</v>
      </c>
      <c r="F28" s="2" t="s">
        <v>43</v>
      </c>
      <c r="G28" s="17">
        <f>G23*I24</f>
        <v>-2634910.6983051752</v>
      </c>
      <c r="I28" s="5"/>
      <c r="M28" s="5"/>
    </row>
    <row r="29" spans="3:15" hidden="1" outlineLevel="1" x14ac:dyDescent="0.2">
      <c r="C29" s="3" t="s">
        <v>31</v>
      </c>
      <c r="D29" s="2"/>
      <c r="E29" s="10">
        <f>G8</f>
        <v>-0.55740000000000001</v>
      </c>
      <c r="G29" s="17">
        <f>G23*I25</f>
        <v>5696000.0405422682</v>
      </c>
      <c r="I29" s="5"/>
      <c r="M29" s="5"/>
    </row>
    <row r="30" spans="3:15" hidden="1" outlineLevel="1" x14ac:dyDescent="0.2">
      <c r="C30" s="2"/>
      <c r="D30" s="2"/>
      <c r="E30" s="16"/>
      <c r="I30" s="5"/>
      <c r="M30" s="5"/>
    </row>
    <row r="31" spans="3:15" hidden="1" outlineLevel="1" x14ac:dyDescent="0.2">
      <c r="C31" s="3" t="s">
        <v>27</v>
      </c>
      <c r="D31" s="2"/>
      <c r="E31" s="10">
        <f>E27+G27</f>
        <v>1036727.4401718293</v>
      </c>
      <c r="I31" s="5"/>
      <c r="M31" s="5"/>
    </row>
    <row r="32" spans="3:15" hidden="1" outlineLevel="1" x14ac:dyDescent="0.2">
      <c r="C32" s="3" t="s">
        <v>29</v>
      </c>
      <c r="D32" s="2" t="s">
        <v>44</v>
      </c>
      <c r="E32" s="10">
        <f>E28+G28</f>
        <v>-2634912.6141051752</v>
      </c>
      <c r="I32" s="5"/>
      <c r="M32" s="5"/>
    </row>
    <row r="33" spans="3:13" hidden="1" outlineLevel="1" x14ac:dyDescent="0.2">
      <c r="C33" s="3" t="s">
        <v>31</v>
      </c>
      <c r="D33" s="2"/>
      <c r="E33" s="10">
        <f>E29+G29</f>
        <v>5695999.4831422679</v>
      </c>
      <c r="I33" s="5"/>
      <c r="M33" s="5"/>
    </row>
    <row r="34" spans="3:13" ht="12.75" customHeight="1" collapsed="1" x14ac:dyDescent="0.2">
      <c r="C34" s="2"/>
      <c r="D34" s="2"/>
      <c r="E34" s="16"/>
      <c r="I34" s="5"/>
      <c r="M34" s="5"/>
    </row>
    <row r="35" spans="3:13" x14ac:dyDescent="0.2">
      <c r="C35" s="23"/>
      <c r="D35" s="24"/>
      <c r="K35" s="30" t="s">
        <v>19</v>
      </c>
    </row>
    <row r="36" spans="3:13" x14ac:dyDescent="0.2">
      <c r="E36" s="2"/>
      <c r="F36" s="2"/>
      <c r="G36" s="2"/>
      <c r="H36" s="2"/>
      <c r="I36" s="12"/>
      <c r="J36" s="12"/>
      <c r="K36" s="44" t="s">
        <v>20</v>
      </c>
      <c r="L36" s="2"/>
    </row>
    <row r="37" spans="3:13" x14ac:dyDescent="0.2">
      <c r="D37" s="2"/>
      <c r="E37" s="2"/>
      <c r="H37" s="12"/>
      <c r="I37" s="2"/>
      <c r="J37" s="12"/>
      <c r="L37" s="2"/>
    </row>
    <row r="38" spans="3:13" x14ac:dyDescent="0.2">
      <c r="C38" s="2"/>
      <c r="E38" s="2"/>
      <c r="H38" s="12"/>
      <c r="I38" s="12"/>
      <c r="J38" s="2"/>
      <c r="L38" s="2"/>
    </row>
  </sheetData>
  <phoneticPr fontId="0" type="noConversion"/>
  <printOptions horizontalCentered="1" verticalCentered="1"/>
  <pageMargins left="0.5" right="0.5" top="0.5" bottom="0.5" header="0.5" footer="0.5"/>
  <pageSetup paperSize="9" orientation="landscape" r:id="rId1"/>
  <headerFooter alignWithMargins="0">
    <oddHeader>&amp;CSimilarity Transformation</oddHeader>
    <oddFooter>&amp;Chttp://www.anzlic.org.au/icsm/gdatm.htm&amp;R&amp;D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9"/>
  <sheetViews>
    <sheetView showGridLines="0" showOutlineSymbols="0" zoomScale="80" workbookViewId="0">
      <selection activeCell="D13" sqref="D13"/>
    </sheetView>
  </sheetViews>
  <sheetFormatPr defaultRowHeight="12.75" outlineLevelRow="1" x14ac:dyDescent="0.2"/>
  <cols>
    <col min="1" max="1" width="2.85546875" customWidth="1"/>
    <col min="2" max="2" width="2.7109375" customWidth="1"/>
    <col min="3" max="3" width="20.140625" customWidth="1"/>
    <col min="4" max="4" width="14.28515625" customWidth="1"/>
    <col min="6" max="6" width="14.140625" customWidth="1"/>
    <col min="8" max="8" width="5" customWidth="1"/>
    <col min="9" max="9" width="10.42578125" customWidth="1"/>
    <col min="10" max="10" width="4.42578125" customWidth="1"/>
    <col min="11" max="11" width="2.7109375" customWidth="1"/>
  </cols>
  <sheetData>
    <row r="1" spans="2:11" ht="13.5" thickBot="1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2:11" x14ac:dyDescent="0.2">
      <c r="B2" s="7"/>
      <c r="K2" s="8"/>
    </row>
    <row r="3" spans="2:11" ht="15.75" x14ac:dyDescent="0.25">
      <c r="B3" s="7"/>
      <c r="C3" s="45" t="s">
        <v>45</v>
      </c>
      <c r="K3" s="8"/>
    </row>
    <row r="4" spans="2:11" ht="12.75" customHeight="1" x14ac:dyDescent="0.2">
      <c r="B4" s="7"/>
      <c r="K4" s="8"/>
    </row>
    <row r="5" spans="2:11" x14ac:dyDescent="0.2">
      <c r="B5" s="7"/>
      <c r="G5" s="1" t="s">
        <v>1</v>
      </c>
      <c r="H5" s="1" t="s">
        <v>2</v>
      </c>
      <c r="I5" s="2" t="s">
        <v>46</v>
      </c>
      <c r="K5" s="8"/>
    </row>
    <row r="6" spans="2:11" x14ac:dyDescent="0.2">
      <c r="B6" s="7"/>
      <c r="C6" s="2" t="s">
        <v>8</v>
      </c>
      <c r="D6" s="59">
        <f>'7 parameter transformation'!K6</f>
        <v>1036727.4401718293</v>
      </c>
      <c r="F6" t="s">
        <v>7</v>
      </c>
      <c r="G6" s="55">
        <f>TRUNC(G23)</f>
        <v>63</v>
      </c>
      <c r="H6" s="54">
        <f>TRUNC((G23-G6)*60)</f>
        <v>43</v>
      </c>
      <c r="I6" s="53">
        <f>(G23-G6-(H6/60))*3600</f>
        <v>14.592014921491314</v>
      </c>
      <c r="J6" s="51" t="str">
        <f>IF((F23&lt;0),"S","N")</f>
        <v>N</v>
      </c>
      <c r="K6" s="8"/>
    </row>
    <row r="7" spans="2:11" x14ac:dyDescent="0.2">
      <c r="B7" s="7"/>
      <c r="C7" s="2" t="s">
        <v>10</v>
      </c>
      <c r="D7" s="59">
        <f>'7 parameter transformation'!K7</f>
        <v>-2634912.6141051752</v>
      </c>
      <c r="F7" t="s">
        <v>9</v>
      </c>
      <c r="G7" s="69">
        <f>TRUNC(G22)</f>
        <v>68</v>
      </c>
      <c r="H7" s="54">
        <f>TRUNC((G22-G7)*60)</f>
        <v>31</v>
      </c>
      <c r="I7" s="53">
        <f>(G22-G7-(H7/60))*3600</f>
        <v>20.806391377671886</v>
      </c>
      <c r="J7" s="51" t="str">
        <f>IF((F22&lt;0),"W","E")</f>
        <v>W</v>
      </c>
      <c r="K7" s="8"/>
    </row>
    <row r="8" spans="2:11" x14ac:dyDescent="0.2">
      <c r="B8" s="7"/>
      <c r="C8" s="2" t="s">
        <v>12</v>
      </c>
      <c r="D8" s="59">
        <f>'7 parameter transformation'!K8</f>
        <v>5695999.4831422679</v>
      </c>
      <c r="F8" t="s">
        <v>11</v>
      </c>
      <c r="I8" s="60">
        <f>D24</f>
        <v>0.45249101705849171</v>
      </c>
      <c r="J8" s="51" t="s">
        <v>49</v>
      </c>
      <c r="K8" s="8"/>
    </row>
    <row r="9" spans="2:11" x14ac:dyDescent="0.2">
      <c r="B9" s="7"/>
      <c r="K9" s="8"/>
    </row>
    <row r="10" spans="2:11" x14ac:dyDescent="0.2">
      <c r="B10" s="7"/>
      <c r="C10" s="29" t="s">
        <v>13</v>
      </c>
      <c r="J10" s="35"/>
      <c r="K10" s="8"/>
    </row>
    <row r="11" spans="2:11" x14ac:dyDescent="0.2">
      <c r="B11" s="7"/>
      <c r="C11" s="46" t="str">
        <f>'Datum Transformation'!$C$22</f>
        <v>GRS-80</v>
      </c>
      <c r="J11" s="35"/>
      <c r="K11" s="8"/>
    </row>
    <row r="12" spans="2:11" x14ac:dyDescent="0.2">
      <c r="B12" s="7"/>
      <c r="C12" t="s">
        <v>14</v>
      </c>
      <c r="D12" s="56">
        <f>'Datum Transformation'!D23</f>
        <v>6378137</v>
      </c>
      <c r="J12" s="35"/>
      <c r="K12" s="8"/>
    </row>
    <row r="13" spans="2:11" x14ac:dyDescent="0.2">
      <c r="B13" s="7"/>
      <c r="C13" t="s">
        <v>15</v>
      </c>
      <c r="D13" s="71">
        <f>'Datum Transformation'!D24</f>
        <v>298.25722210100002</v>
      </c>
      <c r="K13" s="8"/>
    </row>
    <row r="14" spans="2:11" hidden="1" outlineLevel="1" x14ac:dyDescent="0.2">
      <c r="B14" s="7"/>
      <c r="C14" t="s">
        <v>16</v>
      </c>
      <c r="D14">
        <f>1/D13</f>
        <v>3.3528106811823188E-3</v>
      </c>
      <c r="K14" s="8"/>
    </row>
    <row r="15" spans="2:11" ht="14.25" hidden="1" outlineLevel="1" x14ac:dyDescent="0.2">
      <c r="B15" s="7"/>
      <c r="C15" t="s">
        <v>17</v>
      </c>
      <c r="D15">
        <f>2*D14-D14*D14</f>
        <v>6.6943800229007869E-3</v>
      </c>
      <c r="K15" s="8"/>
    </row>
    <row r="16" spans="2:11" hidden="1" outlineLevel="1" x14ac:dyDescent="0.2">
      <c r="B16" s="7"/>
      <c r="C16" s="47" t="s">
        <v>18</v>
      </c>
      <c r="D16">
        <f>D12/SQRT(1-D15*SIN(D23)*SIN(D23))</f>
        <v>6395370.5294023687</v>
      </c>
      <c r="K16" s="8"/>
    </row>
    <row r="17" spans="2:11" ht="13.5" collapsed="1" thickBot="1" x14ac:dyDescent="0.25">
      <c r="B17" s="36"/>
      <c r="C17" s="37"/>
      <c r="D17" s="37"/>
      <c r="E17" s="37"/>
      <c r="F17" s="37"/>
      <c r="G17" s="37"/>
      <c r="H17" s="37"/>
      <c r="I17" s="37"/>
      <c r="J17" s="37"/>
      <c r="K17" s="42"/>
    </row>
    <row r="19" spans="2:11" hidden="1" outlineLevel="1" x14ac:dyDescent="0.2">
      <c r="C19" t="s">
        <v>47</v>
      </c>
      <c r="D19">
        <f>SQRT(D6*D6+D7*D7)</f>
        <v>2831531.082148985</v>
      </c>
    </row>
    <row r="20" spans="2:11" hidden="1" outlineLevel="1" x14ac:dyDescent="0.2">
      <c r="C20" t="s">
        <v>48</v>
      </c>
      <c r="D20">
        <f>SQRT(D19*D19+D8*D8)</f>
        <v>6360973.0687319208</v>
      </c>
    </row>
    <row r="21" spans="2:11" hidden="1" outlineLevel="1" x14ac:dyDescent="0.2">
      <c r="C21" s="47" t="s">
        <v>49</v>
      </c>
      <c r="D21">
        <f>ATAN((D8/D19)*((1-D14)+(D15*D12)/D20))</f>
        <v>1.1107999780744711</v>
      </c>
      <c r="F21" s="2" t="s">
        <v>5</v>
      </c>
      <c r="G21" t="s">
        <v>58</v>
      </c>
    </row>
    <row r="22" spans="2:11" hidden="1" outlineLevel="1" x14ac:dyDescent="0.2">
      <c r="C22" t="s">
        <v>50</v>
      </c>
      <c r="D22">
        <f>ATAN2(D6,D7)</f>
        <v>-1.1959422980567256</v>
      </c>
      <c r="F22">
        <f>(D22/PI())*180</f>
        <v>-68.522446219827131</v>
      </c>
      <c r="G22">
        <f>ABS(F22)</f>
        <v>68.522446219827131</v>
      </c>
    </row>
    <row r="23" spans="2:11" hidden="1" outlineLevel="1" x14ac:dyDescent="0.2">
      <c r="C23" t="s">
        <v>51</v>
      </c>
      <c r="D23">
        <f>ATAN(D26/D27)</f>
        <v>1.1121363658137426</v>
      </c>
      <c r="F23">
        <f>(D23/PI())*180</f>
        <v>63.720720004144859</v>
      </c>
      <c r="G23">
        <f>ABS(F23)</f>
        <v>63.720720004144859</v>
      </c>
    </row>
    <row r="24" spans="2:11" hidden="1" outlineLevel="1" x14ac:dyDescent="0.2">
      <c r="C24" t="s">
        <v>52</v>
      </c>
      <c r="D24">
        <f>D19*COS(D23)+D8*SIN(D23)-D12*SQRT(1-D15*SIN(D23)*SIN(D23))</f>
        <v>0.45249101705849171</v>
      </c>
    </row>
    <row r="25" spans="2:11" hidden="1" outlineLevel="1" x14ac:dyDescent="0.2"/>
    <row r="26" spans="2:11" hidden="1" outlineLevel="1" x14ac:dyDescent="0.2">
      <c r="C26" t="s">
        <v>53</v>
      </c>
      <c r="D26">
        <f>D8*(1-D14)+D15*D12*SIN(D21)*SIN(D21)*SIN(D21)</f>
        <v>5707620.8648357838</v>
      </c>
    </row>
    <row r="27" spans="2:11" hidden="1" outlineLevel="1" x14ac:dyDescent="0.2">
      <c r="C27" t="s">
        <v>54</v>
      </c>
      <c r="D27">
        <f>(1-D14)*(D19-D15*D12*COS(D21)*COS(D21)*COS(D21))</f>
        <v>2818314.1546652215</v>
      </c>
    </row>
    <row r="28" spans="2:11" collapsed="1" x14ac:dyDescent="0.2">
      <c r="J28" s="30" t="s">
        <v>19</v>
      </c>
    </row>
    <row r="29" spans="2:11" x14ac:dyDescent="0.2">
      <c r="J29" s="44" t="s">
        <v>20</v>
      </c>
    </row>
  </sheetData>
  <phoneticPr fontId="0" type="noConversion"/>
  <printOptions gridLinesSet="0"/>
  <pageMargins left="0.75" right="0.75" top="1" bottom="1" header="0.5" footer="0.5"/>
  <pageSetup paperSize="9" orientation="landscape" horizontalDpi="0" verticalDpi="0" r:id="rId1"/>
  <headerFooter alignWithMargins="0">
    <oddHeader>&amp;CCartesian (XYZ) to geodetic (lat, long, ellip. ht.)</oddHeader>
    <oddFooter>&amp;Chttp://www.anzlic.org.au/icsm/gdatm.htm&amp;R&amp;D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Datum Transformation</vt:lpstr>
      <vt:lpstr>Geodetic to Cartesian</vt:lpstr>
      <vt:lpstr>7 parameter transformation</vt:lpstr>
      <vt:lpstr>Cartesian to geodetic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7-Parameter Datum Transformation</dc:title>
  <dc:creator>AUSLIG - GEODESY</dc:creator>
  <dc:description>Modified by Mircea Neacsu</dc:description>
  <cp:lastModifiedBy>Mircea Neacsu</cp:lastModifiedBy>
  <cp:lastPrinted>2001-12-18T18:49:20Z</cp:lastPrinted>
  <dcterms:created xsi:type="dcterms:W3CDTF">1997-02-11T07:10:33Z</dcterms:created>
  <dcterms:modified xsi:type="dcterms:W3CDTF">2022-11-28T20:28:04Z</dcterms:modified>
</cp:coreProperties>
</file>