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dc631b7ff9f7f723/Documents/Web Sites/hermes/downloads/"/>
    </mc:Choice>
  </mc:AlternateContent>
  <xr:revisionPtr revIDLastSave="17" documentId="11_E74E77D637A09A52A75A307B1CA512C5A1F8BD10" xr6:coauthVersionLast="47" xr6:coauthVersionMax="47" xr10:uidLastSave="{EA083839-5077-48D1-9647-A712EDEB8348}"/>
  <bookViews>
    <workbookView xWindow="3510" yWindow="570" windowWidth="23490" windowHeight="14910" xr2:uid="{00000000-000D-0000-FFFF-FFFF00000000}"/>
  </bookViews>
  <sheets>
    <sheet name="XY to Geographic" sheetId="5" r:id="rId1"/>
    <sheet name="Geographic to XY" sheetId="4" r:id="rId2"/>
  </sheets>
  <definedNames>
    <definedName name="_xlnm.Print_Area" localSheetId="1">'Geographic to XY'!$B$1:$N$72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5" l="1"/>
  <c r="H8" i="4"/>
  <c r="I8" i="4" s="1"/>
  <c r="H9" i="4"/>
  <c r="I9" i="4" s="1"/>
  <c r="J9" i="4" s="1"/>
  <c r="C17" i="4"/>
  <c r="D18" i="4"/>
  <c r="D19" i="4"/>
  <c r="D43" i="4" s="1"/>
  <c r="D22" i="4"/>
  <c r="E22" i="4"/>
  <c r="F22" i="4"/>
  <c r="G22" i="4"/>
  <c r="D23" i="4"/>
  <c r="H26" i="4" s="1"/>
  <c r="E23" i="4"/>
  <c r="F23" i="4"/>
  <c r="G23" i="4"/>
  <c r="D24" i="4"/>
  <c r="D25" i="4"/>
  <c r="D26" i="4"/>
  <c r="H8" i="5"/>
  <c r="H9" i="5"/>
  <c r="H22" i="5"/>
  <c r="I22" i="5" s="1"/>
  <c r="H23" i="5"/>
  <c r="J23" i="5" s="1"/>
  <c r="D47" i="5" s="1"/>
  <c r="D44" i="5"/>
  <c r="D45" i="5" s="1"/>
  <c r="I26" i="4" l="1"/>
  <c r="J26" i="4" s="1"/>
  <c r="D46" i="4" s="1"/>
  <c r="I23" i="5"/>
  <c r="J8" i="4"/>
  <c r="D51" i="5"/>
  <c r="J22" i="5"/>
  <c r="D46" i="5" s="1"/>
  <c r="D48" i="5" s="1"/>
  <c r="D49" i="5" s="1"/>
  <c r="D50" i="5" s="1"/>
  <c r="D52" i="5" s="1"/>
  <c r="H22" i="4"/>
  <c r="J22" i="4" s="1"/>
  <c r="D45" i="4" s="1"/>
  <c r="D56" i="4"/>
  <c r="D59" i="4"/>
  <c r="D58" i="4"/>
  <c r="D44" i="4"/>
  <c r="D49" i="4" s="1"/>
  <c r="D47" i="4"/>
  <c r="D57" i="4"/>
  <c r="D54" i="5" l="1"/>
  <c r="D56" i="5"/>
  <c r="D55" i="5"/>
  <c r="D57" i="5" s="1"/>
  <c r="H45" i="5" s="1"/>
  <c r="H47" i="5" s="1"/>
  <c r="D53" i="5"/>
  <c r="D69" i="4"/>
  <c r="M7" i="4" s="1"/>
  <c r="M20" i="4" s="1"/>
  <c r="I22" i="4"/>
  <c r="D63" i="4"/>
  <c r="D62" i="4"/>
  <c r="D61" i="4"/>
  <c r="D65" i="4" s="1"/>
  <c r="M10" i="4" s="1"/>
  <c r="D48" i="4"/>
  <c r="D50" i="4"/>
  <c r="D51" i="4"/>
  <c r="D52" i="4"/>
  <c r="D70" i="4" s="1"/>
  <c r="M8" i="4" s="1"/>
  <c r="M21" i="4" s="1"/>
  <c r="D71" i="4"/>
  <c r="M9" i="4" s="1"/>
  <c r="O9" i="5" l="1"/>
  <c r="H49" i="5"/>
  <c r="H44" i="5"/>
  <c r="H46" i="5" s="1"/>
  <c r="H48" i="5" l="1"/>
  <c r="O8" i="5"/>
  <c r="L9" i="5"/>
  <c r="M9" i="5" s="1"/>
  <c r="L8" i="5" l="1"/>
  <c r="N9" i="5"/>
  <c r="M8" i="5" l="1"/>
  <c r="N8" i="5" s="1"/>
</calcChain>
</file>

<file path=xl/sharedStrings.xml><?xml version="1.0" encoding="utf-8"?>
<sst xmlns="http://schemas.openxmlformats.org/spreadsheetml/2006/main" count="117" uniqueCount="71">
  <si>
    <t>Transverse Mercator Projection - Transformation from Geographic to XY</t>
  </si>
  <si>
    <t>Input</t>
  </si>
  <si>
    <t>Output</t>
  </si>
  <si>
    <t>Point</t>
  </si>
  <si>
    <t>deg</t>
  </si>
  <si>
    <t>min</t>
  </si>
  <si>
    <t>sec</t>
  </si>
  <si>
    <t>Abs. Deg</t>
  </si>
  <si>
    <t>Rad.</t>
  </si>
  <si>
    <t>Easting (X)</t>
  </si>
  <si>
    <t>N</t>
  </si>
  <si>
    <t>Northing (Y)</t>
  </si>
  <si>
    <t>W</t>
  </si>
  <si>
    <t>Scale Factor (k)</t>
  </si>
  <si>
    <t>Parameters</t>
  </si>
  <si>
    <t>Ellipsoid</t>
  </si>
  <si>
    <t>Semi major axis (a)</t>
  </si>
  <si>
    <t>m</t>
  </si>
  <si>
    <t>Inverse flattening (1/f)</t>
  </si>
  <si>
    <t>False easting</t>
  </si>
  <si>
    <t>False northing</t>
  </si>
  <si>
    <t>Calculation:</t>
  </si>
  <si>
    <t>rad</t>
  </si>
  <si>
    <t>N=</t>
  </si>
  <si>
    <t>T=</t>
  </si>
  <si>
    <t>C=</t>
  </si>
  <si>
    <t>A=</t>
  </si>
  <si>
    <t>M=</t>
  </si>
  <si>
    <t>Coff. of M</t>
  </si>
  <si>
    <t>C1=</t>
  </si>
  <si>
    <t>C2=</t>
  </si>
  <si>
    <t>C3=</t>
  </si>
  <si>
    <t>C4=</t>
  </si>
  <si>
    <t>x=</t>
  </si>
  <si>
    <t>y=</t>
  </si>
  <si>
    <t>k=</t>
  </si>
  <si>
    <t>f=</t>
  </si>
  <si>
    <t>l=</t>
  </si>
  <si>
    <t>M0=</t>
  </si>
  <si>
    <t>m=</t>
  </si>
  <si>
    <t>e1=</t>
  </si>
  <si>
    <t>T1=</t>
  </si>
  <si>
    <t>N1=</t>
  </si>
  <si>
    <t>R1=</t>
  </si>
  <si>
    <t>D=</t>
  </si>
  <si>
    <t>Lat(dec)=</t>
  </si>
  <si>
    <t>Lon(dec)=</t>
  </si>
  <si>
    <t>Lat(abs)=</t>
  </si>
  <si>
    <t>Lon(abs)=</t>
  </si>
  <si>
    <t>True coords.</t>
  </si>
  <si>
    <t>Transverse Mercator Projection - Transformation from XY to Geographic</t>
  </si>
  <si>
    <t>WGS84</t>
  </si>
  <si>
    <t>Results in US Survey ft</t>
  </si>
  <si>
    <t>Easting</t>
  </si>
  <si>
    <t>Northing</t>
  </si>
  <si>
    <t>Convergence</t>
  </si>
  <si>
    <t>sin(lat)</t>
  </si>
  <si>
    <t>cos(lat)^2</t>
  </si>
  <si>
    <t>tan(lat)^2</t>
  </si>
  <si>
    <t>gamma</t>
  </si>
  <si>
    <t>Latitude (f)</t>
  </si>
  <si>
    <t>Longitude (l)</t>
  </si>
  <si>
    <t>f1=</t>
  </si>
  <si>
    <r>
      <t>Reference latitude (f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)</t>
    </r>
  </si>
  <si>
    <r>
      <t>Central meridian (l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)</t>
    </r>
  </si>
  <si>
    <r>
      <t>Scale factor (k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)</t>
    </r>
  </si>
  <si>
    <r>
      <t>e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=</t>
    </r>
  </si>
  <si>
    <r>
      <t xml:space="preserve">e' 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=</t>
    </r>
  </si>
  <si>
    <r>
      <t>f</t>
    </r>
    <r>
      <rPr>
        <b/>
        <vertAlign val="subscript"/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>=</t>
    </r>
  </si>
  <si>
    <r>
      <t>l</t>
    </r>
    <r>
      <rPr>
        <b/>
        <vertAlign val="subscript"/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>=</t>
    </r>
  </si>
  <si>
    <r>
      <t>M</t>
    </r>
    <r>
      <rPr>
        <b/>
        <i/>
        <vertAlign val="subscript"/>
        <sz val="11"/>
        <rFont val="Calibri"/>
        <family val="2"/>
        <scheme val="minor"/>
      </rPr>
      <t>0</t>
    </r>
    <r>
      <rPr>
        <b/>
        <i/>
        <sz val="1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</si>
</sst>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00"/>
    <numFmt numFmtId="166" formatCode="0.0000000000"/>
    <numFmt numFmtId="167" formatCode="000\°"/>
    <numFmt numFmtId="168" formatCode="00\°"/>
    <numFmt numFmtId="169" formatCode="00\'"/>
    <numFmt numFmtId="170" formatCode="00.00000\&quot;"/>
    <numFmt numFmtId="171" formatCode="00.00###\&quot;"/>
    <numFmt numFmtId="172" formatCode="0.00000000"/>
  </numFmts>
  <fonts count="13" x14ac:knownFonts="1"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b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5" fillId="0" borderId="5" xfId="0" applyNumberFormat="1" applyFont="1" applyBorder="1"/>
    <xf numFmtId="0" fontId="4" fillId="0" borderId="0" xfId="0" applyFont="1"/>
    <xf numFmtId="2" fontId="6" fillId="2" borderId="0" xfId="0" applyNumberFormat="1" applyFont="1" applyFill="1"/>
    <xf numFmtId="169" fontId="2" fillId="2" borderId="0" xfId="0" applyNumberFormat="1" applyFont="1" applyFill="1" applyAlignment="1">
      <alignment horizontal="left"/>
    </xf>
    <xf numFmtId="171" fontId="2" fillId="0" borderId="0" xfId="0" applyNumberFormat="1" applyFont="1"/>
    <xf numFmtId="2" fontId="2" fillId="0" borderId="0" xfId="0" applyNumberFormat="1" applyFont="1"/>
    <xf numFmtId="168" fontId="5" fillId="0" borderId="0" xfId="0" applyNumberFormat="1" applyFont="1"/>
    <xf numFmtId="169" fontId="5" fillId="0" borderId="0" xfId="0" applyNumberFormat="1" applyFont="1"/>
    <xf numFmtId="170" fontId="5" fillId="0" borderId="0" xfId="0" applyNumberFormat="1" applyFont="1"/>
    <xf numFmtId="169" fontId="2" fillId="2" borderId="0" xfId="0" applyNumberFormat="1" applyFont="1" applyFill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/>
    </xf>
    <xf numFmtId="168" fontId="2" fillId="2" borderId="0" xfId="0" applyNumberFormat="1" applyFont="1" applyFill="1"/>
    <xf numFmtId="171" fontId="2" fillId="2" borderId="0" xfId="0" applyNumberFormat="1" applyFont="1" applyFill="1"/>
    <xf numFmtId="167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/>
    <xf numFmtId="165" fontId="2" fillId="0" borderId="0" xfId="0" applyNumberFormat="1" applyFont="1"/>
    <xf numFmtId="166" fontId="2" fillId="0" borderId="0" xfId="0" applyNumberFormat="1" applyFont="1"/>
    <xf numFmtId="172" fontId="2" fillId="0" borderId="0" xfId="0" applyNumberFormat="1" applyFont="1"/>
    <xf numFmtId="0" fontId="11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95250</xdr:rowOff>
    </xdr:from>
    <xdr:to>
      <xdr:col>13</xdr:col>
      <xdr:colOff>609600</xdr:colOff>
      <xdr:row>36</xdr:row>
      <xdr:rowOff>171450</xdr:rowOff>
    </xdr:to>
    <xdr:sp macro="" textlink="">
      <xdr:nvSpPr>
        <xdr:cNvPr id="3073" name="Text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61925" y="5391150"/>
          <a:ext cx="6257925" cy="1790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sng" strike="noStrike" baseline="0">
              <a:solidFill>
                <a:srgbClr val="000000"/>
              </a:solidFill>
              <a:latin typeface="+mn-lt"/>
              <a:cs typeface="Arial"/>
            </a:rPr>
            <a:t>Instructions:</a:t>
          </a:r>
          <a:endParaRPr lang="en-U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1. Enter the name of the ellipsoid associated with the input coordinates in C17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2. Enter the semi major axis (metres) and inverse flattening of the input ellipsoid in D18:D19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3. Enter coordinates of central point of projection (reference latitude and central meridian) in D22:G23.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4. Enter false easting and false northing values in D25:D26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5. Enter XY coordinates in D8:D9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6. Read the resulting geographic coordinates in L8:O9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All calculations are hidden </a:t>
          </a:r>
          <a:r>
            <a:rPr lang="en-US" sz="1100" b="0" i="0" u="none" strike="noStrike" baseline="0">
              <a:solidFill>
                <a:srgbClr val="FF00FF"/>
              </a:solidFill>
              <a:latin typeface="+mn-lt"/>
              <a:cs typeface="Arial"/>
            </a:rPr>
            <a:t>(DO NOT DELETE THOSE!)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Use Excel's unhide command (rows and columns) to see intermediate results.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47625</xdr:rowOff>
    </xdr:from>
    <xdr:to>
      <xdr:col>12</xdr:col>
      <xdr:colOff>762000</xdr:colOff>
      <xdr:row>39</xdr:row>
      <xdr:rowOff>19050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571500" y="5495925"/>
          <a:ext cx="6219825" cy="2066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50" b="0" i="0" u="sng" strike="noStrike" baseline="0">
              <a:solidFill>
                <a:srgbClr val="000000"/>
              </a:solidFill>
              <a:latin typeface="+mn-lt"/>
              <a:cs typeface="Arial"/>
            </a:rPr>
            <a:t>Instructions:</a:t>
          </a:r>
          <a:endParaRPr lang="en-US" sz="105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1. Enter the name of the ellipsoid associated with the input coordinates in C15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2. Enter the semi major axis (metres) and inverse flattening of the input ellipsoid in D16:D17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3. Enter coordinates of central point of projection (reference latitude and central meridian) in D20:G21.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4. Enter scale factor at central meridian in D22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5. Enter false easting and false northing values in D23:D24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6. Enter geographic coordonates in D8:G9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7. Read the resulting XY coordinates in M5:M6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8. Read scale factor at transformed point in M7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All calculations are hidden </a:t>
          </a:r>
          <a:r>
            <a:rPr lang="en-US" sz="1050" b="0" i="0" u="none" strike="noStrike" baseline="0">
              <a:solidFill>
                <a:srgbClr val="FF00FF"/>
              </a:solidFill>
              <a:latin typeface="+mn-lt"/>
              <a:cs typeface="Arial"/>
            </a:rPr>
            <a:t>(DO NOT DELETE THOSE!)</a:t>
          </a: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Use Excel's unhide command (rows and columns) to see intermediate results.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tabSelected="1" workbookViewId="0">
      <selection activeCell="O22" sqref="O22"/>
    </sheetView>
  </sheetViews>
  <sheetFormatPr defaultRowHeight="15" x14ac:dyDescent="0.25"/>
  <cols>
    <col min="1" max="1" width="2.28515625" style="1" customWidth="1"/>
    <col min="2" max="2" width="5.85546875" style="1" customWidth="1"/>
    <col min="3" max="3" width="23" style="1" customWidth="1"/>
    <col min="4" max="4" width="12.85546875" style="1" customWidth="1"/>
    <col min="5" max="5" width="5.7109375" style="1" customWidth="1"/>
    <col min="6" max="6" width="9.140625" style="1"/>
    <col min="7" max="7" width="4.85546875" style="1" customWidth="1"/>
    <col min="8" max="8" width="14.140625" style="1" hidden="1" customWidth="1"/>
    <col min="9" max="10" width="9.140625" style="1" hidden="1" customWidth="1"/>
    <col min="11" max="11" width="12.85546875" style="1" customWidth="1"/>
    <col min="12" max="12" width="9.140625" style="1"/>
    <col min="13" max="13" width="5.42578125" style="1" customWidth="1"/>
    <col min="14" max="14" width="9.28515625" style="1" bestFit="1" customWidth="1"/>
    <col min="15" max="16384" width="9.140625" style="1"/>
  </cols>
  <sheetData>
    <row r="1" spans="2:15" s="1" customFormat="1" ht="15.75" thickBot="1" x14ac:dyDescent="0.3"/>
    <row r="2" spans="2:15" s="1" customForma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x14ac:dyDescent="0.25">
      <c r="B3" s="5"/>
      <c r="C3" s="6" t="s">
        <v>50</v>
      </c>
      <c r="O3" s="7"/>
    </row>
    <row r="4" spans="2:15" s="1" customFormat="1" x14ac:dyDescent="0.25">
      <c r="B4" s="5"/>
      <c r="O4" s="7"/>
    </row>
    <row r="5" spans="2:15" s="1" customFormat="1" x14ac:dyDescent="0.25">
      <c r="B5" s="5"/>
      <c r="D5" s="8" t="s">
        <v>1</v>
      </c>
      <c r="K5" s="9" t="s">
        <v>2</v>
      </c>
      <c r="O5" s="7"/>
    </row>
    <row r="6" spans="2:15" s="1" customFormat="1" x14ac:dyDescent="0.25">
      <c r="B6" s="5"/>
      <c r="C6" s="1" t="s">
        <v>3</v>
      </c>
      <c r="O6" s="7"/>
    </row>
    <row r="7" spans="2:15" s="1" customFormat="1" x14ac:dyDescent="0.25">
      <c r="B7" s="5"/>
      <c r="D7" s="10"/>
      <c r="F7" s="10"/>
      <c r="G7" s="11"/>
      <c r="H7" s="11" t="s">
        <v>49</v>
      </c>
      <c r="K7" s="12"/>
      <c r="L7" s="10" t="s">
        <v>4</v>
      </c>
      <c r="M7" s="10" t="s">
        <v>5</v>
      </c>
      <c r="N7" s="10" t="s">
        <v>6</v>
      </c>
      <c r="O7" s="13"/>
    </row>
    <row r="8" spans="2:15" s="1" customFormat="1" x14ac:dyDescent="0.25">
      <c r="B8" s="5"/>
      <c r="C8" s="14" t="s">
        <v>9</v>
      </c>
      <c r="D8" s="15">
        <v>627106.5</v>
      </c>
      <c r="E8" s="16" t="s">
        <v>17</v>
      </c>
      <c r="F8" s="17"/>
      <c r="G8" s="11"/>
      <c r="H8" s="18">
        <f>D8-D25</f>
        <v>-172893.5</v>
      </c>
      <c r="K8" s="12" t="s">
        <v>60</v>
      </c>
      <c r="L8" s="19">
        <f>INT(H48)</f>
        <v>81</v>
      </c>
      <c r="M8" s="20">
        <f>INT((H48-L8)*60)</f>
        <v>46</v>
      </c>
      <c r="N8" s="21">
        <f>(H48-L8-M8/60)*3600</f>
        <v>10.544631603462262</v>
      </c>
      <c r="O8" s="13" t="str">
        <f>IF(H46&lt;0,"S","N")</f>
        <v>N</v>
      </c>
    </row>
    <row r="9" spans="2:15" s="1" customFormat="1" x14ac:dyDescent="0.25">
      <c r="B9" s="5"/>
      <c r="C9" s="14" t="s">
        <v>11</v>
      </c>
      <c r="D9" s="15">
        <v>4484124.4000000004</v>
      </c>
      <c r="E9" s="22" t="s">
        <v>17</v>
      </c>
      <c r="F9" s="17"/>
      <c r="G9" s="11"/>
      <c r="H9" s="18">
        <f>D9-D26</f>
        <v>4484124.4000000004</v>
      </c>
      <c r="K9" s="12" t="s">
        <v>61</v>
      </c>
      <c r="L9" s="19">
        <f>INT(H49)</f>
        <v>126</v>
      </c>
      <c r="M9" s="20">
        <f>INT((H49-L9)*60)</f>
        <v>37</v>
      </c>
      <c r="N9" s="21">
        <f>(H49-L9-M9/60)*3600</f>
        <v>37.550638887789667</v>
      </c>
      <c r="O9" s="13" t="str">
        <f>IF(H47&lt;0,"W","E")</f>
        <v>W</v>
      </c>
    </row>
    <row r="10" spans="2:15" s="1" customFormat="1" ht="15.75" thickBot="1" x14ac:dyDescent="0.3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2" spans="2:15" s="1" customFormat="1" ht="15.75" thickBot="1" x14ac:dyDescent="0.3">
      <c r="J12" s="24"/>
    </row>
    <row r="13" spans="2:15" s="1" customFormat="1" x14ac:dyDescent="0.25">
      <c r="B13" s="2"/>
      <c r="C13" s="3"/>
      <c r="D13" s="3"/>
      <c r="E13" s="3"/>
      <c r="F13" s="3"/>
      <c r="G13" s="3"/>
      <c r="H13" s="3"/>
      <c r="I13" s="3"/>
      <c r="J13" s="12"/>
      <c r="K13" s="26"/>
    </row>
    <row r="14" spans="2:15" s="1" customFormat="1" x14ac:dyDescent="0.25">
      <c r="B14" s="5"/>
      <c r="C14" s="14" t="s">
        <v>14</v>
      </c>
      <c r="K14" s="7"/>
      <c r="N14" s="27" t="s">
        <v>1</v>
      </c>
    </row>
    <row r="15" spans="2:15" s="1" customFormat="1" x14ac:dyDescent="0.25">
      <c r="B15" s="5"/>
      <c r="C15" s="14"/>
      <c r="K15" s="7"/>
      <c r="N15" s="9" t="s">
        <v>2</v>
      </c>
    </row>
    <row r="16" spans="2:15" s="1" customFormat="1" x14ac:dyDescent="0.25">
      <c r="B16" s="5"/>
      <c r="C16" s="14" t="s">
        <v>15</v>
      </c>
      <c r="K16" s="7"/>
    </row>
    <row r="17" spans="2:11" s="1" customFormat="1" x14ac:dyDescent="0.25">
      <c r="B17" s="5"/>
      <c r="C17" s="28" t="s">
        <v>51</v>
      </c>
      <c r="K17" s="7"/>
    </row>
    <row r="18" spans="2:11" s="1" customFormat="1" x14ac:dyDescent="0.25">
      <c r="B18" s="5"/>
      <c r="C18" s="29" t="s">
        <v>16</v>
      </c>
      <c r="D18" s="28">
        <v>6378137</v>
      </c>
      <c r="E18" s="1" t="s">
        <v>17</v>
      </c>
      <c r="K18" s="7"/>
    </row>
    <row r="19" spans="2:11" s="1" customFormat="1" x14ac:dyDescent="0.25">
      <c r="B19" s="5"/>
      <c r="C19" s="29" t="s">
        <v>18</v>
      </c>
      <c r="D19" s="28">
        <v>298.25722356300003</v>
      </c>
      <c r="K19" s="7"/>
    </row>
    <row r="20" spans="2:11" s="1" customFormat="1" x14ac:dyDescent="0.25">
      <c r="B20" s="5"/>
      <c r="K20" s="7"/>
    </row>
    <row r="21" spans="2:11" s="1" customFormat="1" x14ac:dyDescent="0.25">
      <c r="B21" s="5"/>
      <c r="C21" s="29"/>
      <c r="D21" s="10" t="s">
        <v>4</v>
      </c>
      <c r="E21" s="10" t="s">
        <v>5</v>
      </c>
      <c r="F21" s="10" t="s">
        <v>6</v>
      </c>
      <c r="G21" s="11"/>
      <c r="H21" s="11" t="s">
        <v>7</v>
      </c>
      <c r="J21" s="11" t="s">
        <v>8</v>
      </c>
      <c r="K21" s="7"/>
    </row>
    <row r="22" spans="2:11" s="1" customFormat="1" ht="18" x14ac:dyDescent="0.35">
      <c r="B22" s="5"/>
      <c r="C22" s="29" t="s">
        <v>63</v>
      </c>
      <c r="D22" s="30">
        <v>41</v>
      </c>
      <c r="E22" s="22">
        <v>40</v>
      </c>
      <c r="F22" s="31">
        <v>0</v>
      </c>
      <c r="G22" s="8" t="s">
        <v>10</v>
      </c>
      <c r="H22" s="1">
        <f>ABS(D22)+ABS(E22/60)+ABS(F22/3600)</f>
        <v>41.666666666666664</v>
      </c>
      <c r="I22" s="1">
        <f>IF(G22="S", -H22,H22)</f>
        <v>41.666666666666664</v>
      </c>
      <c r="J22" s="1">
        <f>(H22/180)*PI()*IF(G22="s",-1,1)</f>
        <v>0.72722052166430384</v>
      </c>
      <c r="K22" s="7"/>
    </row>
    <row r="23" spans="2:11" s="1" customFormat="1" ht="18" x14ac:dyDescent="0.35">
      <c r="B23" s="5"/>
      <c r="C23" s="29" t="s">
        <v>64</v>
      </c>
      <c r="D23" s="32">
        <v>115</v>
      </c>
      <c r="E23" s="22">
        <v>45</v>
      </c>
      <c r="F23" s="31">
        <v>0</v>
      </c>
      <c r="G23" s="8" t="s">
        <v>12</v>
      </c>
      <c r="H23" s="1">
        <f>ABS(D23)+ABS(E23/60)+ABS(F23/3600)</f>
        <v>115.75</v>
      </c>
      <c r="I23" s="1">
        <f>IF(G23="S", -H23,H23)</f>
        <v>115.75</v>
      </c>
      <c r="J23" s="1">
        <f>(H23/180)*PI()*IF(G23="w",-1,1)</f>
        <v>-2.0202186091834364</v>
      </c>
      <c r="K23" s="7"/>
    </row>
    <row r="24" spans="2:11" s="1" customFormat="1" ht="18" x14ac:dyDescent="0.35">
      <c r="B24" s="5"/>
      <c r="C24" s="29" t="s">
        <v>65</v>
      </c>
      <c r="D24" s="28">
        <f>1-1/15000</f>
        <v>0.99993333333333334</v>
      </c>
      <c r="E24" s="10"/>
      <c r="F24" s="10"/>
      <c r="G24" s="11"/>
      <c r="K24" s="7"/>
    </row>
    <row r="25" spans="2:11" s="1" customFormat="1" x14ac:dyDescent="0.25">
      <c r="B25" s="5"/>
      <c r="C25" s="29" t="s">
        <v>19</v>
      </c>
      <c r="D25" s="33">
        <v>800000</v>
      </c>
      <c r="E25" s="11"/>
      <c r="F25" s="11"/>
      <c r="G25" s="11"/>
      <c r="K25" s="7"/>
    </row>
    <row r="26" spans="2:11" s="1" customFormat="1" x14ac:dyDescent="0.25">
      <c r="B26" s="5"/>
      <c r="C26" s="29" t="s">
        <v>20</v>
      </c>
      <c r="D26" s="33">
        <v>0</v>
      </c>
      <c r="K26" s="7"/>
    </row>
    <row r="27" spans="2:11" s="1" customFormat="1" ht="15.75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5"/>
    </row>
    <row r="29" spans="2:11" s="1" customFormat="1" x14ac:dyDescent="0.25">
      <c r="C29" s="34"/>
    </row>
    <row r="30" spans="2:11" s="1" customFormat="1" x14ac:dyDescent="0.25">
      <c r="C30" s="34"/>
    </row>
    <row r="31" spans="2:11" s="1" customFormat="1" x14ac:dyDescent="0.25">
      <c r="C31" s="34"/>
    </row>
    <row r="32" spans="2:11" s="1" customFormat="1" x14ac:dyDescent="0.25">
      <c r="C32" s="34"/>
    </row>
    <row r="33" spans="2:8" s="1" customFormat="1" x14ac:dyDescent="0.25">
      <c r="C33" s="34"/>
    </row>
    <row r="34" spans="2:8" s="1" customFormat="1" x14ac:dyDescent="0.25">
      <c r="C34" s="34"/>
    </row>
    <row r="35" spans="2:8" s="1" customFormat="1" x14ac:dyDescent="0.25">
      <c r="C35" s="34"/>
    </row>
    <row r="36" spans="2:8" s="1" customFormat="1" x14ac:dyDescent="0.25">
      <c r="C36" s="34"/>
    </row>
    <row r="37" spans="2:8" s="1" customFormat="1" x14ac:dyDescent="0.25">
      <c r="C37" s="34"/>
    </row>
    <row r="38" spans="2:8" s="1" customFormat="1" x14ac:dyDescent="0.25">
      <c r="C38" s="34"/>
    </row>
    <row r="39" spans="2:8" s="1" customFormat="1" x14ac:dyDescent="0.25">
      <c r="C39" s="34"/>
    </row>
    <row r="40" spans="2:8" s="1" customFormat="1" x14ac:dyDescent="0.25">
      <c r="C40" s="34"/>
    </row>
    <row r="41" spans="2:8" s="1" customFormat="1" x14ac:dyDescent="0.25">
      <c r="B41" s="35"/>
      <c r="C41" s="34"/>
    </row>
    <row r="42" spans="2:8" s="1" customFormat="1" x14ac:dyDescent="0.25">
      <c r="C42" s="34"/>
    </row>
    <row r="43" spans="2:8" s="1" customFormat="1" hidden="1" x14ac:dyDescent="0.25">
      <c r="B43" s="35" t="s">
        <v>21</v>
      </c>
    </row>
    <row r="44" spans="2:8" s="1" customFormat="1" ht="17.25" hidden="1" x14ac:dyDescent="0.25">
      <c r="C44" s="34" t="s">
        <v>66</v>
      </c>
      <c r="D44" s="1">
        <f>2/D19-1/(D19^2)</f>
        <v>6.6943799901413165E-3</v>
      </c>
      <c r="G44" s="34" t="s">
        <v>36</v>
      </c>
      <c r="H44" s="1">
        <f>D52-(D55*TAN(D52)/D56)*((D57^2)/2-(5+3*D54+10*D53-4*(D53^2)-9*D45)*(D57^4)/24+(61+90*D54+298*D53+45*(D54^2)-252*D45-3*(D53^2))*(D57^6)/720)</f>
        <v>1.4271486735306664</v>
      </c>
    </row>
    <row r="45" spans="2:8" s="1" customFormat="1" ht="17.25" hidden="1" x14ac:dyDescent="0.25">
      <c r="C45" s="34" t="s">
        <v>67</v>
      </c>
      <c r="D45" s="1">
        <f>$D$44/(1-$D$44)</f>
        <v>6.7394967422764341E-3</v>
      </c>
      <c r="G45" s="34" t="s">
        <v>37</v>
      </c>
      <c r="H45" s="1">
        <f>D47+(D57-(1+2*D54+D53)*(D57^3)/6+(5-2*D53+28*D54-3*(D53^2)+8*D45+24*(D54^2))*(D57^5)/120)/(COS(D52))</f>
        <v>-2.2100597718681589</v>
      </c>
    </row>
    <row r="46" spans="2:8" s="1" customFormat="1" ht="18" hidden="1" x14ac:dyDescent="0.35">
      <c r="B46" s="35"/>
      <c r="C46" s="34" t="s">
        <v>68</v>
      </c>
      <c r="D46" s="1">
        <f>J22</f>
        <v>0.72722052166430384</v>
      </c>
      <c r="G46" s="1" t="s">
        <v>45</v>
      </c>
      <c r="H46" s="1">
        <f>H44*180/PI()</f>
        <v>81.769595731000962</v>
      </c>
    </row>
    <row r="47" spans="2:8" s="1" customFormat="1" ht="18" hidden="1" x14ac:dyDescent="0.35">
      <c r="B47" s="35"/>
      <c r="C47" s="34" t="s">
        <v>69</v>
      </c>
      <c r="D47" s="36">
        <f>J23</f>
        <v>-2.0202186091834364</v>
      </c>
      <c r="G47" s="1" t="s">
        <v>46</v>
      </c>
      <c r="H47" s="1">
        <f>H45*180/PI()</f>
        <v>-126.62709739969105</v>
      </c>
    </row>
    <row r="48" spans="2:8" s="1" customFormat="1" hidden="1" x14ac:dyDescent="0.25">
      <c r="C48" s="34" t="s">
        <v>38</v>
      </c>
      <c r="D48" s="1">
        <f>D18*((1-($D$44)/4-3*($D$44)^2/64-5*($D$44)^3/256)*$D$46-(3*($D$44)/8+3*($D$44)^2/32+45*($D$44)^3/1024)*SIN(2*$D$46)+(15*($D$44)^2/256+45*($D$44)^3/1024)*SIN(4*$D$46)-(35*($D$44)^3/3072)*SIN(6*$D$46))</f>
        <v>4614613.5301777441</v>
      </c>
      <c r="G48" s="1" t="s">
        <v>47</v>
      </c>
      <c r="H48" s="1">
        <f>ABS(H46)</f>
        <v>81.769595731000962</v>
      </c>
    </row>
    <row r="49" spans="3:8" s="1" customFormat="1" hidden="1" x14ac:dyDescent="0.25">
      <c r="C49" s="34" t="s">
        <v>27</v>
      </c>
      <c r="D49" s="1">
        <f>D48+H9/D24</f>
        <v>9099036.8917351812</v>
      </c>
      <c r="G49" s="1" t="s">
        <v>48</v>
      </c>
      <c r="H49" s="1">
        <f>ABS(H47)</f>
        <v>126.62709739969105</v>
      </c>
    </row>
    <row r="50" spans="3:8" s="1" customFormat="1" hidden="1" x14ac:dyDescent="0.25">
      <c r="C50" s="34" t="s">
        <v>39</v>
      </c>
      <c r="D50" s="1">
        <f>D49/(D18*(1-($D$44)/4-3*($D$44)^2/64-5*($D$44)^3/256))</f>
        <v>1.4289924714211724</v>
      </c>
    </row>
    <row r="51" spans="3:8" s="1" customFormat="1" hidden="1" x14ac:dyDescent="0.25">
      <c r="C51" s="34" t="s">
        <v>40</v>
      </c>
      <c r="D51" s="1">
        <f>(1-SQRT(1-$D$44))/(1+SQRT(1-$D$44))</f>
        <v>1.6792203863836958E-3</v>
      </c>
    </row>
    <row r="52" spans="3:8" s="1" customFormat="1" hidden="1" x14ac:dyDescent="0.25">
      <c r="C52" s="34" t="s">
        <v>62</v>
      </c>
      <c r="D52" s="37">
        <f>D50+(3*D51/2-27*D51^3/32)*SIN(2*D50)+(21*D51^2/16-55*D51^4/32)*SIN(4*D50)+(151*D51^3/96)*SIN(6*D50)+(1097*D51^4/512)*SIN(8*D50)</f>
        <v>1.4296953092446725</v>
      </c>
    </row>
    <row r="53" spans="3:8" s="1" customFormat="1" hidden="1" x14ac:dyDescent="0.25">
      <c r="C53" s="34" t="s">
        <v>29</v>
      </c>
      <c r="D53" s="38">
        <f>D45*(COS(D52))^2</f>
        <v>1.3329186634687909E-4</v>
      </c>
    </row>
    <row r="54" spans="3:8" s="1" customFormat="1" hidden="1" x14ac:dyDescent="0.25">
      <c r="C54" s="34" t="s">
        <v>41</v>
      </c>
      <c r="D54" s="38">
        <f>TAN(D52)^2</f>
        <v>49.561950454932862</v>
      </c>
    </row>
    <row r="55" spans="3:8" s="1" customFormat="1" hidden="1" x14ac:dyDescent="0.25">
      <c r="C55" s="34" t="s">
        <v>42</v>
      </c>
      <c r="D55" s="1">
        <f>D18/SQRT(1-D44*(SIN(D52))^2)</f>
        <v>6399167.1615020623</v>
      </c>
    </row>
    <row r="56" spans="3:8" s="1" customFormat="1" hidden="1" x14ac:dyDescent="0.25">
      <c r="C56" s="34" t="s">
        <v>43</v>
      </c>
      <c r="D56" s="1">
        <f>D18*(1-$D$44)/(1-$D$44*SIN(D52)^2)^(3/2)</f>
        <v>6398314.3182451101</v>
      </c>
    </row>
    <row r="57" spans="3:8" s="1" customFormat="1" hidden="1" x14ac:dyDescent="0.25">
      <c r="C57" s="39" t="s">
        <v>44</v>
      </c>
      <c r="D57" s="1">
        <f>H8/(D55*D24)</f>
        <v>-2.7019926599513071E-2</v>
      </c>
    </row>
    <row r="58" spans="3:8" s="1" customFormat="1" x14ac:dyDescent="0.25">
      <c r="C58" s="39"/>
    </row>
    <row r="59" spans="3:8" s="1" customFormat="1" x14ac:dyDescent="0.25">
      <c r="C59" s="39"/>
      <c r="D59" s="37"/>
    </row>
    <row r="60" spans="3:8" s="1" customFormat="1" x14ac:dyDescent="0.25">
      <c r="C60" s="39"/>
      <c r="D60" s="37"/>
    </row>
    <row r="61" spans="3:8" s="1" customFormat="1" x14ac:dyDescent="0.25">
      <c r="C61" s="39"/>
    </row>
    <row r="62" spans="3:8" s="1" customFormat="1" x14ac:dyDescent="0.25">
      <c r="C62" s="11"/>
    </row>
    <row r="63" spans="3:8" s="1" customFormat="1" x14ac:dyDescent="0.25">
      <c r="C63" s="11"/>
    </row>
    <row r="64" spans="3:8" s="1" customFormat="1" x14ac:dyDescent="0.25">
      <c r="C64" s="34"/>
    </row>
    <row r="65" spans="3:3" s="1" customFormat="1" x14ac:dyDescent="0.25">
      <c r="C65" s="34"/>
    </row>
    <row r="66" spans="3:3" s="1" customFormat="1" x14ac:dyDescent="0.25">
      <c r="C66" s="34"/>
    </row>
  </sheetData>
  <phoneticPr fontId="0" type="noConversion"/>
  <pageMargins left="0.75" right="0.75" top="0.93" bottom="0.8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1"/>
  <sheetViews>
    <sheetView zoomScaleNormal="100" workbookViewId="0">
      <selection activeCell="N23" sqref="N23"/>
    </sheetView>
  </sheetViews>
  <sheetFormatPr defaultRowHeight="15" x14ac:dyDescent="0.25"/>
  <cols>
    <col min="1" max="1" width="8.42578125" style="1" customWidth="1"/>
    <col min="2" max="2" width="4.5703125" style="1" customWidth="1"/>
    <col min="3" max="3" width="23.85546875" style="1" customWidth="1"/>
    <col min="4" max="4" width="13.28515625" style="1" customWidth="1"/>
    <col min="5" max="5" width="5" style="1" customWidth="1"/>
    <col min="6" max="6" width="9.28515625" style="1" customWidth="1"/>
    <col min="7" max="7" width="3.5703125" style="1" customWidth="1"/>
    <col min="8" max="8" width="11" style="1" hidden="1" customWidth="1"/>
    <col min="9" max="10" width="9.140625" style="1" hidden="1" customWidth="1"/>
    <col min="11" max="11" width="6.28515625" style="1" customWidth="1"/>
    <col min="12" max="12" width="16.140625" style="1" customWidth="1"/>
    <col min="13" max="13" width="11.5703125" style="1" bestFit="1" customWidth="1"/>
    <col min="14" max="14" width="4.85546875" style="1" customWidth="1"/>
    <col min="15" max="16384" width="9.140625" style="1"/>
  </cols>
  <sheetData>
    <row r="1" spans="2:14" ht="12.75" customHeight="1" thickBot="1" x14ac:dyDescent="0.3"/>
    <row r="2" spans="2:14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x14ac:dyDescent="0.25">
      <c r="B3" s="5"/>
      <c r="C3" s="6" t="s">
        <v>0</v>
      </c>
      <c r="N3" s="7"/>
    </row>
    <row r="4" spans="2:14" x14ac:dyDescent="0.25">
      <c r="B4" s="5"/>
      <c r="N4" s="7"/>
    </row>
    <row r="5" spans="2:14" x14ac:dyDescent="0.25">
      <c r="B5" s="5"/>
      <c r="D5" s="8" t="s">
        <v>1</v>
      </c>
      <c r="L5" s="9" t="s">
        <v>2</v>
      </c>
      <c r="N5" s="7"/>
    </row>
    <row r="6" spans="2:14" x14ac:dyDescent="0.25">
      <c r="B6" s="5"/>
      <c r="C6" s="1" t="s">
        <v>3</v>
      </c>
      <c r="N6" s="7"/>
    </row>
    <row r="7" spans="2:14" x14ac:dyDescent="0.25">
      <c r="B7" s="5"/>
      <c r="D7" s="10" t="s">
        <v>4</v>
      </c>
      <c r="E7" s="10" t="s">
        <v>5</v>
      </c>
      <c r="F7" s="10" t="s">
        <v>6</v>
      </c>
      <c r="G7" s="11"/>
      <c r="H7" s="11" t="s">
        <v>7</v>
      </c>
      <c r="J7" s="11" t="s">
        <v>8</v>
      </c>
      <c r="L7" s="12" t="s">
        <v>9</v>
      </c>
      <c r="M7" s="40">
        <f>D69+D25</f>
        <v>701400.88666063105</v>
      </c>
      <c r="N7" s="7"/>
    </row>
    <row r="8" spans="2:14" x14ac:dyDescent="0.25">
      <c r="B8" s="5"/>
      <c r="C8" s="14" t="s">
        <v>60</v>
      </c>
      <c r="D8" s="30">
        <v>46</v>
      </c>
      <c r="E8" s="22">
        <v>20</v>
      </c>
      <c r="F8" s="31">
        <v>19.868099999999998</v>
      </c>
      <c r="G8" s="8" t="s">
        <v>10</v>
      </c>
      <c r="H8" s="1">
        <f>ABS(D8)+ABS(E8/60)+ABS(F8/3600)</f>
        <v>46.338852250000002</v>
      </c>
      <c r="I8" s="1">
        <f>IF(G8="S", -H8,H8)</f>
        <v>46.338852250000002</v>
      </c>
      <c r="J8" s="1">
        <f>(H8/180)*PI()</f>
        <v>0.80876554335768258</v>
      </c>
      <c r="L8" s="12" t="s">
        <v>11</v>
      </c>
      <c r="M8" s="40">
        <f>D70+D26</f>
        <v>519900.09871169674</v>
      </c>
      <c r="N8" s="7"/>
    </row>
    <row r="9" spans="2:14" x14ac:dyDescent="0.25">
      <c r="B9" s="5"/>
      <c r="C9" s="14" t="s">
        <v>61</v>
      </c>
      <c r="D9" s="32">
        <v>117</v>
      </c>
      <c r="E9" s="22">
        <v>1</v>
      </c>
      <c r="F9" s="31">
        <v>50.807699999999997</v>
      </c>
      <c r="G9" s="8" t="s">
        <v>12</v>
      </c>
      <c r="H9" s="1">
        <f>ABS(D9)+ABS(E9/60)+ABS(F9/3600)</f>
        <v>117.03077991666666</v>
      </c>
      <c r="I9" s="1">
        <f>IF(G9="W",-H9,H9)</f>
        <v>-117.03077991666666</v>
      </c>
      <c r="J9" s="1">
        <f>(I9/180)*PI()</f>
        <v>-2.0425724357226884</v>
      </c>
      <c r="L9" s="12" t="s">
        <v>13</v>
      </c>
      <c r="M9" s="41">
        <f>D71</f>
        <v>1.0000527964743096</v>
      </c>
      <c r="N9" s="7"/>
    </row>
    <row r="10" spans="2:14" ht="15.75" thickBot="1" x14ac:dyDescent="0.3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 t="s">
        <v>55</v>
      </c>
      <c r="M10" s="24">
        <f>D65*180/PI()</f>
        <v>0.92663518116090682</v>
      </c>
      <c r="N10" s="25"/>
    </row>
    <row r="12" spans="2:14" ht="15.75" thickBot="1" x14ac:dyDescent="0.3"/>
    <row r="13" spans="2:14" x14ac:dyDescent="0.25">
      <c r="B13" s="2"/>
      <c r="C13" s="3"/>
      <c r="D13" s="3"/>
      <c r="E13" s="3"/>
      <c r="F13" s="3"/>
      <c r="G13" s="3"/>
      <c r="H13" s="3"/>
      <c r="I13" s="3"/>
      <c r="J13" s="3"/>
      <c r="K13" s="26"/>
    </row>
    <row r="14" spans="2:14" x14ac:dyDescent="0.25">
      <c r="B14" s="5"/>
      <c r="C14" s="14" t="s">
        <v>14</v>
      </c>
      <c r="K14" s="7"/>
      <c r="M14" s="27" t="s">
        <v>1</v>
      </c>
    </row>
    <row r="15" spans="2:14" x14ac:dyDescent="0.25">
      <c r="B15" s="5"/>
      <c r="C15" s="14"/>
      <c r="K15" s="7"/>
      <c r="M15" s="9" t="s">
        <v>2</v>
      </c>
    </row>
    <row r="16" spans="2:14" x14ac:dyDescent="0.25">
      <c r="B16" s="5"/>
      <c r="C16" s="14" t="s">
        <v>15</v>
      </c>
      <c r="K16" s="7"/>
    </row>
    <row r="17" spans="2:13" x14ac:dyDescent="0.25">
      <c r="B17" s="5"/>
      <c r="C17" s="28" t="str">
        <f>'XY to Geographic'!$C$17</f>
        <v>WGS84</v>
      </c>
      <c r="K17" s="7"/>
    </row>
    <row r="18" spans="2:13" x14ac:dyDescent="0.25">
      <c r="B18" s="5"/>
      <c r="C18" s="29" t="s">
        <v>16</v>
      </c>
      <c r="D18" s="28">
        <f>'XY to Geographic'!D18</f>
        <v>6378137</v>
      </c>
      <c r="E18" s="1" t="s">
        <v>17</v>
      </c>
      <c r="K18" s="7"/>
    </row>
    <row r="19" spans="2:13" x14ac:dyDescent="0.25">
      <c r="B19" s="5"/>
      <c r="C19" s="29" t="s">
        <v>18</v>
      </c>
      <c r="D19" s="28">
        <f>'XY to Geographic'!D19</f>
        <v>298.25722356300003</v>
      </c>
      <c r="K19" s="7"/>
      <c r="M19" s="1" t="s">
        <v>52</v>
      </c>
    </row>
    <row r="20" spans="2:13" x14ac:dyDescent="0.25">
      <c r="B20" s="5"/>
      <c r="K20" s="7"/>
      <c r="L20" s="1" t="s">
        <v>53</v>
      </c>
      <c r="M20" s="42">
        <f>M7*3937/1200</f>
        <v>2301179.408985754</v>
      </c>
    </row>
    <row r="21" spans="2:13" x14ac:dyDescent="0.25">
      <c r="B21" s="5"/>
      <c r="C21" s="29"/>
      <c r="D21" s="10" t="s">
        <v>4</v>
      </c>
      <c r="E21" s="10" t="s">
        <v>5</v>
      </c>
      <c r="F21" s="10" t="s">
        <v>6</v>
      </c>
      <c r="G21" s="11"/>
      <c r="H21" s="11" t="s">
        <v>7</v>
      </c>
      <c r="J21" s="11" t="s">
        <v>8</v>
      </c>
      <c r="K21" s="7"/>
      <c r="L21" s="1" t="s">
        <v>54</v>
      </c>
      <c r="M21" s="42">
        <f>M8*3937/1200</f>
        <v>1705705.5738566252</v>
      </c>
    </row>
    <row r="22" spans="2:13" ht="18" x14ac:dyDescent="0.35">
      <c r="B22" s="5"/>
      <c r="C22" s="29" t="s">
        <v>63</v>
      </c>
      <c r="D22" s="30">
        <f>'XY to Geographic'!D22</f>
        <v>41</v>
      </c>
      <c r="E22" s="22">
        <f>'XY to Geographic'!E22</f>
        <v>40</v>
      </c>
      <c r="F22" s="31">
        <f>'XY to Geographic'!F22</f>
        <v>0</v>
      </c>
      <c r="G22" s="8" t="str">
        <f>'XY to Geographic'!G22</f>
        <v>N</v>
      </c>
      <c r="H22" s="1">
        <f>ABS(D22)+ABS(E22/60)+ABS(F22/3600)</f>
        <v>41.666666666666664</v>
      </c>
      <c r="I22" s="1">
        <f>IF(G22="S", -H22,H22)</f>
        <v>41.666666666666664</v>
      </c>
      <c r="J22" s="1">
        <f>(H22/180)*PI()</f>
        <v>0.72722052166430384</v>
      </c>
      <c r="K22" s="7"/>
    </row>
    <row r="23" spans="2:13" ht="18" x14ac:dyDescent="0.35">
      <c r="B23" s="5"/>
      <c r="C23" s="29" t="s">
        <v>64</v>
      </c>
      <c r="D23" s="32">
        <f>'XY to Geographic'!D23</f>
        <v>115</v>
      </c>
      <c r="E23" s="22">
        <f>'XY to Geographic'!E23</f>
        <v>45</v>
      </c>
      <c r="F23" s="31">
        <f>'XY to Geographic'!F23</f>
        <v>0</v>
      </c>
      <c r="G23" s="8" t="str">
        <f>'XY to Geographic'!G23</f>
        <v>W</v>
      </c>
      <c r="K23" s="7"/>
    </row>
    <row r="24" spans="2:13" ht="18" x14ac:dyDescent="0.35">
      <c r="B24" s="5"/>
      <c r="C24" s="29" t="s">
        <v>65</v>
      </c>
      <c r="D24" s="28">
        <f>'XY to Geographic'!D24</f>
        <v>0.99993333333333334</v>
      </c>
      <c r="E24" s="10"/>
      <c r="F24" s="10"/>
      <c r="G24" s="11"/>
      <c r="K24" s="7"/>
    </row>
    <row r="25" spans="2:13" x14ac:dyDescent="0.25">
      <c r="B25" s="5"/>
      <c r="C25" s="29" t="s">
        <v>19</v>
      </c>
      <c r="D25" s="33">
        <f>'XY to Geographic'!D25</f>
        <v>800000</v>
      </c>
      <c r="E25" s="11"/>
      <c r="F25" s="11"/>
      <c r="G25" s="11"/>
      <c r="K25" s="7"/>
    </row>
    <row r="26" spans="2:13" x14ac:dyDescent="0.25">
      <c r="B26" s="5"/>
      <c r="C26" s="29" t="s">
        <v>20</v>
      </c>
      <c r="D26" s="33">
        <f>'XY to Geographic'!D26</f>
        <v>0</v>
      </c>
      <c r="H26" s="1">
        <f>ABS(D23)+ABS(E23/60)+ABS(F23/3600)</f>
        <v>115.75</v>
      </c>
      <c r="I26" s="1">
        <f>IF(G23="W",-H26,H26)</f>
        <v>-115.75</v>
      </c>
      <c r="J26" s="1">
        <f>(I26/180)*PI()</f>
        <v>-2.0202186091834364</v>
      </c>
      <c r="K26" s="7"/>
    </row>
    <row r="27" spans="2:13" ht="15.75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5"/>
    </row>
    <row r="29" spans="2:13" x14ac:dyDescent="0.25">
      <c r="C29" s="34"/>
    </row>
    <row r="30" spans="2:13" x14ac:dyDescent="0.25">
      <c r="C30" s="34"/>
    </row>
    <row r="31" spans="2:13" x14ac:dyDescent="0.25">
      <c r="C31" s="34"/>
    </row>
    <row r="32" spans="2:13" x14ac:dyDescent="0.25">
      <c r="C32" s="34"/>
    </row>
    <row r="33" spans="2:5" x14ac:dyDescent="0.25">
      <c r="C33" s="34"/>
    </row>
    <row r="34" spans="2:5" x14ac:dyDescent="0.25">
      <c r="C34" s="34"/>
    </row>
    <row r="35" spans="2:5" x14ac:dyDescent="0.25">
      <c r="C35" s="34"/>
    </row>
    <row r="36" spans="2:5" x14ac:dyDescent="0.25">
      <c r="C36" s="34"/>
    </row>
    <row r="37" spans="2:5" x14ac:dyDescent="0.25">
      <c r="C37" s="34"/>
    </row>
    <row r="38" spans="2:5" x14ac:dyDescent="0.25">
      <c r="C38" s="34"/>
    </row>
    <row r="39" spans="2:5" x14ac:dyDescent="0.25">
      <c r="C39" s="34"/>
    </row>
    <row r="40" spans="2:5" x14ac:dyDescent="0.25">
      <c r="C40" s="34"/>
    </row>
    <row r="41" spans="2:5" x14ac:dyDescent="0.25">
      <c r="C41" s="34"/>
    </row>
    <row r="42" spans="2:5" hidden="1" x14ac:dyDescent="0.25">
      <c r="B42" s="35" t="s">
        <v>21</v>
      </c>
    </row>
    <row r="43" spans="2:5" ht="17.25" hidden="1" x14ac:dyDescent="0.25">
      <c r="C43" s="34" t="s">
        <v>66</v>
      </c>
      <c r="D43" s="1">
        <f>2/D19-1/(D19^2)</f>
        <v>6.6943799901413165E-3</v>
      </c>
    </row>
    <row r="44" spans="2:5" ht="17.25" hidden="1" x14ac:dyDescent="0.25">
      <c r="C44" s="34" t="s">
        <v>67</v>
      </c>
      <c r="D44" s="1">
        <f>$D$43/(1-$D$43)</f>
        <v>6.7394967422764341E-3</v>
      </c>
    </row>
    <row r="45" spans="2:5" ht="18" hidden="1" x14ac:dyDescent="0.35">
      <c r="B45" s="35"/>
      <c r="C45" s="34" t="s">
        <v>68</v>
      </c>
      <c r="D45" s="1">
        <f>$J$22</f>
        <v>0.72722052166430384</v>
      </c>
      <c r="E45" s="1" t="s">
        <v>22</v>
      </c>
    </row>
    <row r="46" spans="2:5" ht="18" hidden="1" x14ac:dyDescent="0.35">
      <c r="B46" s="35"/>
      <c r="C46" s="34" t="s">
        <v>69</v>
      </c>
      <c r="D46" s="36">
        <f>$J$26</f>
        <v>-2.0202186091834364</v>
      </c>
      <c r="E46" s="1" t="s">
        <v>22</v>
      </c>
    </row>
    <row r="47" spans="2:5" hidden="1" x14ac:dyDescent="0.25">
      <c r="C47" s="39" t="s">
        <v>23</v>
      </c>
      <c r="D47" s="1">
        <f>$D$18/SQRT(1-$D$43*SIN(J8)^2)</f>
        <v>6389339.5482046483</v>
      </c>
    </row>
    <row r="48" spans="2:5" hidden="1" x14ac:dyDescent="0.25">
      <c r="C48" s="39" t="s">
        <v>24</v>
      </c>
      <c r="D48" s="1">
        <f>TAN(J8)^2</f>
        <v>1.098014516090666</v>
      </c>
    </row>
    <row r="49" spans="3:4" hidden="1" x14ac:dyDescent="0.25">
      <c r="C49" s="39" t="s">
        <v>25</v>
      </c>
      <c r="D49" s="1">
        <f>$D$44*COS(J8)^2</f>
        <v>3.2123213116916224E-3</v>
      </c>
    </row>
    <row r="50" spans="3:4" hidden="1" x14ac:dyDescent="0.25">
      <c r="C50" s="39" t="s">
        <v>26</v>
      </c>
      <c r="D50" s="1">
        <f>($J$9-$D$46)*COS(J8)</f>
        <v>-1.5432903201659699E-2</v>
      </c>
    </row>
    <row r="51" spans="3:4" hidden="1" x14ac:dyDescent="0.25">
      <c r="C51" s="39" t="s">
        <v>27</v>
      </c>
      <c r="D51" s="1">
        <f>$D$18*(($D$56*$J$8)-$D$57*SIN(2*$J$8)+$D$58*SIN(4*$J$8)-$D$59*SIN(6*$J$8))</f>
        <v>5133750.9225495523</v>
      </c>
    </row>
    <row r="52" spans="3:4" ht="18" hidden="1" x14ac:dyDescent="0.35">
      <c r="C52" s="39" t="s">
        <v>70</v>
      </c>
      <c r="D52" s="1">
        <f>$D$18*(($D$56*$D$45)-$D$57*SIN(2*$D$45)+$D$58*SIN(4*$D$45)-$D$59*SIN(6*$D$45))</f>
        <v>4614613.5301777441</v>
      </c>
    </row>
    <row r="53" spans="3:4" hidden="1" x14ac:dyDescent="0.25"/>
    <row r="54" spans="3:4" hidden="1" x14ac:dyDescent="0.25">
      <c r="C54" s="39" t="s">
        <v>28</v>
      </c>
    </row>
    <row r="55" spans="3:4" hidden="1" x14ac:dyDescent="0.25"/>
    <row r="56" spans="3:4" hidden="1" x14ac:dyDescent="0.25">
      <c r="C56" s="39" t="s">
        <v>29</v>
      </c>
      <c r="D56" s="1">
        <f>1-$D$43/4-3*($D$43)^2/64-5*($D$43)^2*$D$43/256</f>
        <v>0.99832429845279536</v>
      </c>
    </row>
    <row r="57" spans="3:4" hidden="1" x14ac:dyDescent="0.25">
      <c r="C57" s="39" t="s">
        <v>30</v>
      </c>
      <c r="D57" s="1">
        <f>3*$D$43/8+3*$D$43^2/32+45*(($D$43^2)*$D$43)/1024</f>
        <v>2.5146070605187049E-3</v>
      </c>
    </row>
    <row r="58" spans="3:4" hidden="1" x14ac:dyDescent="0.25">
      <c r="C58" s="39" t="s">
        <v>31</v>
      </c>
      <c r="D58" s="37">
        <f>15*$D$43^2/256+45*$D$43^2*$D$43/1024</f>
        <v>2.6390465943376213E-6</v>
      </c>
    </row>
    <row r="59" spans="3:4" hidden="1" x14ac:dyDescent="0.25">
      <c r="C59" s="39" t="s">
        <v>32</v>
      </c>
      <c r="D59" s="37">
        <f>35*$D$43^2*$D$43/3072</f>
        <v>3.4180460865957878E-9</v>
      </c>
    </row>
    <row r="60" spans="3:4" hidden="1" x14ac:dyDescent="0.25">
      <c r="C60" s="39"/>
      <c r="D60" s="37"/>
    </row>
    <row r="61" spans="3:4" hidden="1" x14ac:dyDescent="0.25">
      <c r="C61" s="39" t="s">
        <v>56</v>
      </c>
      <c r="D61" s="37">
        <f>SIN(J8)</f>
        <v>0.72343546680143578</v>
      </c>
    </row>
    <row r="62" spans="3:4" hidden="1" x14ac:dyDescent="0.25">
      <c r="C62" s="39" t="s">
        <v>57</v>
      </c>
      <c r="D62" s="37">
        <f>COS(J8)^2</f>
        <v>0.47664112537378872</v>
      </c>
    </row>
    <row r="63" spans="3:4" hidden="1" x14ac:dyDescent="0.25">
      <c r="C63" s="39" t="s">
        <v>58</v>
      </c>
      <c r="D63" s="1">
        <f>TAN(J8)^2</f>
        <v>1.098014516090666</v>
      </c>
    </row>
    <row r="64" spans="3:4" hidden="1" x14ac:dyDescent="0.25">
      <c r="C64" s="39"/>
    </row>
    <row r="65" spans="3:4" hidden="1" x14ac:dyDescent="0.25">
      <c r="C65" s="39" t="s">
        <v>59</v>
      </c>
      <c r="D65" s="37">
        <f>ATAN(-D61*TAN(J9-D46))</f>
        <v>1.6172834876071955E-2</v>
      </c>
    </row>
    <row r="66" spans="3:4" hidden="1" x14ac:dyDescent="0.25">
      <c r="C66" s="39"/>
    </row>
    <row r="67" spans="3:4" hidden="1" x14ac:dyDescent="0.25">
      <c r="C67" s="39"/>
    </row>
    <row r="68" spans="3:4" hidden="1" x14ac:dyDescent="0.25"/>
    <row r="69" spans="3:4" hidden="1" x14ac:dyDescent="0.25">
      <c r="C69" s="34" t="s">
        <v>33</v>
      </c>
      <c r="D69" s="1">
        <f>$D$24*$D$47*($D$50+(1-$D$48+$D$49)*$D$50^3/6+(5-18*$D$48+$D$48^2+72*$D$49-58*$D$44)*$D$50^5/120)</f>
        <v>-98599.113339368967</v>
      </c>
    </row>
    <row r="70" spans="3:4" hidden="1" x14ac:dyDescent="0.25">
      <c r="C70" s="34" t="s">
        <v>34</v>
      </c>
      <c r="D70" s="1">
        <f>$D$24*($D$51-$D$52+$D$47*TAN($J$8)*($D$50^2/2+(5-$D$48+9*$D$49+4*$D$49^2)*$D$50^4/24+(61-58*$D$48+$D$48^2+600*$D$49-330*$D$44)*$D$50^6/720))</f>
        <v>519900.09871169674</v>
      </c>
    </row>
    <row r="71" spans="3:4" hidden="1" x14ac:dyDescent="0.25">
      <c r="C71" s="34" t="s">
        <v>35</v>
      </c>
      <c r="D71" s="1">
        <f>$D$24*(1+(1+$D$49)*$D$50^2/2+(5-4*$D$48+42*$D$49+13*$D$49^2-28*$D$44)*$D$50^4/24+(61-148*$D$48+16*$D$48^2)*$D$50^6/720)</f>
        <v>1.0000527964743096</v>
      </c>
    </row>
  </sheetData>
  <phoneticPr fontId="0" type="noConversion"/>
  <pageMargins left="0.75" right="0.75" top="1" bottom="1" header="0.5" footer="0.5"/>
  <pageSetup scale="85" orientation="landscape" r:id="rId1"/>
  <headerFooter alignWithMargins="0">
    <oddFooter>&amp;Chttp://www.geocites.com/neacsum&amp;R&amp;D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XY to Geographic</vt:lpstr>
      <vt:lpstr>Geographic to XY</vt:lpstr>
      <vt:lpstr>'Geographic to XY'!Print_Area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Mircea Neacsu</dc:creator>
  <cp:lastModifiedBy>Mircea Neacsu</cp:lastModifiedBy>
  <cp:lastPrinted>2001-02-22T14:24:38Z</cp:lastPrinted>
  <dcterms:created xsi:type="dcterms:W3CDTF">2001-02-10T23:04:37Z</dcterms:created>
  <dcterms:modified xsi:type="dcterms:W3CDTF">2022-08-15T20:52:09Z</dcterms:modified>
</cp:coreProperties>
</file>