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dc631b7ff9f7f723/Documents/Web Sites/hermes/downloads/"/>
    </mc:Choice>
  </mc:AlternateContent>
  <xr:revisionPtr revIDLastSave="9" documentId="11_ED9A2263A1CC9EC5A1AA743A5E79A9AB86741B01" xr6:coauthVersionLast="47" xr6:coauthVersionMax="47" xr10:uidLastSave="{82E0408A-98EB-43EC-A0D7-A1EDA90E3282}"/>
  <bookViews>
    <workbookView xWindow="3510" yWindow="570" windowWidth="23490" windowHeight="14910" activeTab="1" xr2:uid="{00000000-000D-0000-FFFF-FFFF00000000}"/>
  </bookViews>
  <sheets>
    <sheet name="Geographic to XY" sheetId="5" r:id="rId1"/>
    <sheet name="XY to Geographic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6" l="1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D46" i="6" s="1"/>
  <c r="D27" i="6"/>
  <c r="D47" i="6" s="1"/>
  <c r="C17" i="6"/>
  <c r="D19" i="6"/>
  <c r="D44" i="6" s="1"/>
  <c r="D18" i="6"/>
  <c r="D44" i="5"/>
  <c r="H8" i="5"/>
  <c r="J8" i="5" s="1"/>
  <c r="H9" i="5"/>
  <c r="I9" i="5" s="1"/>
  <c r="J9" i="5" s="1"/>
  <c r="H22" i="5"/>
  <c r="I22" i="5" s="1"/>
  <c r="J22" i="5" s="1"/>
  <c r="H23" i="5"/>
  <c r="I23" i="5" s="1"/>
  <c r="J23" i="5" s="1"/>
  <c r="H24" i="5"/>
  <c r="I24" i="5" s="1"/>
  <c r="J24" i="5" s="1"/>
  <c r="H25" i="5"/>
  <c r="I25" i="5" s="1"/>
  <c r="J25" i="5" s="1"/>
  <c r="D45" i="6" l="1"/>
  <c r="D48" i="5"/>
  <c r="D46" i="5"/>
  <c r="D49" i="5"/>
  <c r="D45" i="5"/>
  <c r="I8" i="5"/>
  <c r="H25" i="6"/>
  <c r="I25" i="6" s="1"/>
  <c r="J25" i="6" s="1"/>
  <c r="D50" i="5"/>
  <c r="D47" i="5"/>
  <c r="D51" i="5"/>
  <c r="H23" i="6"/>
  <c r="I23" i="6" s="1"/>
  <c r="J23" i="6" s="1"/>
  <c r="H24" i="6"/>
  <c r="I24" i="6" s="1"/>
  <c r="J24" i="6" s="1"/>
  <c r="H22" i="6"/>
  <c r="I22" i="6" s="1"/>
  <c r="J22" i="6" s="1"/>
  <c r="D52" i="5" l="1"/>
  <c r="D48" i="6" l="1"/>
  <c r="D56" i="5"/>
  <c r="D60" i="5" s="1"/>
  <c r="N10" i="5" s="1"/>
  <c r="D53" i="5"/>
  <c r="D55" i="5" l="1"/>
  <c r="D49" i="6"/>
  <c r="D54" i="5"/>
  <c r="D50" i="6" s="1"/>
  <c r="D57" i="5" l="1"/>
  <c r="N7" i="5" s="1"/>
  <c r="D59" i="5"/>
  <c r="N9" i="5" s="1"/>
  <c r="D58" i="5"/>
  <c r="N8" i="5" s="1"/>
  <c r="D53" i="6"/>
  <c r="D51" i="6"/>
  <c r="D54" i="6" s="1"/>
  <c r="G51" i="6" l="1"/>
  <c r="G52" i="6" s="1"/>
  <c r="G53" i="6" s="1"/>
  <c r="G54" i="6" s="1"/>
  <c r="G55" i="6" s="1"/>
  <c r="G56" i="6" s="1"/>
  <c r="G57" i="6" s="1"/>
  <c r="G58" i="6" s="1"/>
  <c r="G59" i="6" s="1"/>
  <c r="G60" i="6" s="1"/>
  <c r="G45" i="6" s="1"/>
  <c r="G46" i="6" s="1"/>
  <c r="P8" i="6" s="1"/>
  <c r="D52" i="6"/>
  <c r="D55" i="6"/>
  <c r="G47" i="6" s="1"/>
  <c r="I46" i="6" l="1"/>
  <c r="M8" i="6" s="1"/>
  <c r="I47" i="6"/>
  <c r="N8" i="6" l="1"/>
  <c r="O8" i="6" s="1"/>
  <c r="M9" i="6"/>
  <c r="N9" i="6" s="1"/>
  <c r="O9" i="6" s="1"/>
</calcChain>
</file>

<file path=xl/sharedStrings.xml><?xml version="1.0" encoding="utf-8"?>
<sst xmlns="http://schemas.openxmlformats.org/spreadsheetml/2006/main" count="111" uniqueCount="63">
  <si>
    <t>Input</t>
  </si>
  <si>
    <t>Output</t>
  </si>
  <si>
    <t>Point</t>
  </si>
  <si>
    <t>deg</t>
  </si>
  <si>
    <t>min</t>
  </si>
  <si>
    <t>sec</t>
  </si>
  <si>
    <t>Abs. Deg</t>
  </si>
  <si>
    <t>Rad.</t>
  </si>
  <si>
    <t>Easting (X)</t>
  </si>
  <si>
    <t>N</t>
  </si>
  <si>
    <t>Northing (Y)</t>
  </si>
  <si>
    <t>Parameters</t>
  </si>
  <si>
    <t>Ellipsoid</t>
  </si>
  <si>
    <t>Semi major axis (a)</t>
  </si>
  <si>
    <t>m</t>
  </si>
  <si>
    <t>Inverse flattening (1/f)</t>
  </si>
  <si>
    <t>False easting</t>
  </si>
  <si>
    <t>False northing</t>
  </si>
  <si>
    <t>Calculation:</t>
  </si>
  <si>
    <t>k=</t>
  </si>
  <si>
    <t>t=</t>
  </si>
  <si>
    <t>Lambert Conformal Conic Projection - Transformation from Geographic to XY</t>
  </si>
  <si>
    <t>Dec. Deg</t>
  </si>
  <si>
    <t>q=</t>
  </si>
  <si>
    <t>n=</t>
  </si>
  <si>
    <t>m=</t>
  </si>
  <si>
    <t>F=</t>
  </si>
  <si>
    <t>Scale factor (k)</t>
  </si>
  <si>
    <t>gamma</t>
  </si>
  <si>
    <t>Convergence</t>
  </si>
  <si>
    <t>W</t>
  </si>
  <si>
    <t>c=</t>
  </si>
  <si>
    <t>e=</t>
  </si>
  <si>
    <t>Dec.Deg</t>
  </si>
  <si>
    <t>Lambert Conformal Conic Projection - Transformation from XY to Geographic</t>
  </si>
  <si>
    <t>x=</t>
  </si>
  <si>
    <t>y=</t>
  </si>
  <si>
    <t>rho=</t>
  </si>
  <si>
    <t>Iter</t>
  </si>
  <si>
    <t>phi</t>
  </si>
  <si>
    <t>abs. value</t>
  </si>
  <si>
    <t>abs value</t>
  </si>
  <si>
    <t>WGS-84</t>
  </si>
  <si>
    <t>Latitude (f)</t>
  </si>
  <si>
    <t>Longitude (l)</t>
  </si>
  <si>
    <r>
      <t>Reference latitude (f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)</t>
    </r>
  </si>
  <si>
    <r>
      <t>Central meridian (l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)</t>
    </r>
  </si>
  <si>
    <r>
      <t>North parallel (f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</t>
    </r>
  </si>
  <si>
    <r>
      <t>South parallel (f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</si>
  <si>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>e</t>
    </r>
    <r>
      <rPr>
        <b/>
        <i/>
        <vertAlign val="superscript"/>
        <sz val="11"/>
        <rFont val="Calibri"/>
        <family val="2"/>
        <scheme val="minor"/>
      </rPr>
      <t>2</t>
    </r>
    <r>
      <rPr>
        <b/>
        <i/>
        <sz val="11"/>
        <rFont val="Calibri"/>
        <family val="2"/>
        <scheme val="minor"/>
      </rPr>
      <t>=</t>
    </r>
  </si>
  <si>
    <r>
      <t>m</t>
    </r>
    <r>
      <rPr>
        <b/>
        <i/>
        <vertAlign val="subscript"/>
        <sz val="11"/>
        <rFont val="Calibri"/>
        <family val="2"/>
        <scheme val="minor"/>
      </rPr>
      <t>1</t>
    </r>
    <r>
      <rPr>
        <b/>
        <i/>
        <sz val="11"/>
        <rFont val="Calibri"/>
        <family val="2"/>
        <scheme val="minor"/>
      </rPr>
      <t>=</t>
    </r>
  </si>
  <si>
    <r>
      <t>m</t>
    </r>
    <r>
      <rPr>
        <b/>
        <i/>
        <vertAlign val="subscript"/>
        <sz val="11"/>
        <rFont val="Calibri"/>
        <family val="2"/>
        <scheme val="minor"/>
      </rPr>
      <t>2</t>
    </r>
    <r>
      <rPr>
        <b/>
        <i/>
        <sz val="11"/>
        <rFont val="Calibri"/>
        <family val="2"/>
        <scheme val="minor"/>
      </rPr>
      <t>=</t>
    </r>
  </si>
  <si>
    <r>
      <t>t</t>
    </r>
    <r>
      <rPr>
        <b/>
        <i/>
        <vertAlign val="subscript"/>
        <sz val="11"/>
        <rFont val="Calibri"/>
        <family val="2"/>
        <scheme val="minor"/>
      </rPr>
      <t>0</t>
    </r>
    <r>
      <rPr>
        <b/>
        <i/>
        <sz val="11"/>
        <rFont val="Calibri"/>
        <family val="2"/>
        <scheme val="minor"/>
      </rPr>
      <t>=</t>
    </r>
  </si>
  <si>
    <r>
      <t>t</t>
    </r>
    <r>
      <rPr>
        <b/>
        <vertAlign val="sub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=</t>
    </r>
  </si>
  <si>
    <r>
      <t>t</t>
    </r>
    <r>
      <rPr>
        <b/>
        <i/>
        <vertAlign val="subscript"/>
        <sz val="11"/>
        <rFont val="Calibri"/>
        <family val="2"/>
        <scheme val="minor"/>
      </rPr>
      <t>2</t>
    </r>
    <r>
      <rPr>
        <b/>
        <i/>
        <sz val="11"/>
        <rFont val="Calibri"/>
        <family val="2"/>
        <scheme val="minor"/>
      </rPr>
      <t>=</t>
    </r>
  </si>
  <si>
    <r>
      <t>rho</t>
    </r>
    <r>
      <rPr>
        <b/>
        <i/>
        <vertAlign val="subscript"/>
        <sz val="11"/>
        <rFont val="Calibri"/>
        <family val="2"/>
        <scheme val="minor"/>
      </rPr>
      <t>0</t>
    </r>
    <r>
      <rPr>
        <b/>
        <i/>
        <sz val="11"/>
        <rFont val="Calibri"/>
        <family val="2"/>
        <scheme val="minor"/>
      </rPr>
      <t>=</t>
    </r>
  </si>
  <si>
    <t>f=</t>
  </si>
  <si>
    <t>f(deg)=</t>
  </si>
  <si>
    <t>λ(deg)=</t>
  </si>
  <si>
    <t>r0=</t>
  </si>
  <si>
    <t>r=</t>
  </si>
  <si>
    <t>l=</t>
  </si>
  <si>
    <r>
      <t>e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</si>
</sst>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00"/>
    <numFmt numFmtId="166" formatCode="0.0000000000"/>
    <numFmt numFmtId="167" formatCode="000\°"/>
    <numFmt numFmtId="168" formatCode="00\°"/>
    <numFmt numFmtId="169" formatCode="00\'"/>
    <numFmt numFmtId="170" formatCode="00.00000\&quot;"/>
    <numFmt numFmtId="171" formatCode="00.00###\&quot;"/>
    <numFmt numFmtId="172" formatCode="0.0000\°"/>
  </numFmts>
  <fonts count="14" x14ac:knownFonts="1"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i/>
      <vertAlign val="sub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name val="Cambria"/>
      <family val="1"/>
      <scheme val="major"/>
    </font>
    <font>
      <sz val="11"/>
      <color indexed="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0" xfId="0" applyNumberFormat="1" applyFont="1"/>
    <xf numFmtId="168" fontId="2" fillId="2" borderId="0" xfId="0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0" fontId="2" fillId="0" borderId="0" xfId="0" applyFont="1" applyProtection="1">
      <protection locked="0"/>
    </xf>
    <xf numFmtId="167" fontId="2" fillId="2" borderId="0" xfId="0" applyNumberFormat="1" applyFont="1" applyFill="1"/>
    <xf numFmtId="0" fontId="4" fillId="0" borderId="0" xfId="0" applyFont="1"/>
    <xf numFmtId="172" fontId="1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6" fillId="0" borderId="0" xfId="0" applyFont="1" applyAlignment="1">
      <alignment horizontal="center"/>
    </xf>
    <xf numFmtId="166" fontId="2" fillId="0" borderId="0" xfId="0" applyNumberFormat="1" applyFont="1"/>
    <xf numFmtId="0" fontId="11" fillId="0" borderId="0" xfId="0" applyFont="1"/>
    <xf numFmtId="2" fontId="4" fillId="0" borderId="5" xfId="0" applyNumberFormat="1" applyFont="1" applyBorder="1"/>
    <xf numFmtId="2" fontId="12" fillId="2" borderId="0" xfId="0" applyNumberFormat="1" applyFont="1" applyFill="1"/>
    <xf numFmtId="169" fontId="2" fillId="2" borderId="0" xfId="0" applyNumberFormat="1" applyFont="1" applyFill="1" applyAlignment="1">
      <alignment horizontal="left"/>
    </xf>
    <xf numFmtId="171" fontId="2" fillId="0" borderId="0" xfId="0" applyNumberFormat="1" applyFont="1"/>
    <xf numFmtId="168" fontId="4" fillId="0" borderId="0" xfId="0" applyNumberFormat="1" applyFont="1"/>
    <xf numFmtId="169" fontId="4" fillId="0" borderId="0" xfId="0" applyNumberFormat="1" applyFont="1"/>
    <xf numFmtId="170" fontId="4" fillId="0" borderId="0" xfId="0" applyNumberFormat="1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66675</xdr:rowOff>
    </xdr:from>
    <xdr:to>
      <xdr:col>15</xdr:col>
      <xdr:colOff>66675</xdr:colOff>
      <xdr:row>40</xdr:row>
      <xdr:rowOff>76200</xdr:rowOff>
    </xdr:to>
    <xdr:sp macro="" textlink="">
      <xdr:nvSpPr>
        <xdr:cNvPr id="2049" name="Tex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71500" y="4810125"/>
          <a:ext cx="7181850" cy="1952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sng" strike="noStrike" baseline="0">
              <a:solidFill>
                <a:srgbClr val="000000"/>
              </a:solidFill>
              <a:latin typeface="+mn-lt"/>
              <a:cs typeface="Arial"/>
            </a:rPr>
            <a:t>Instructions:</a:t>
          </a:r>
          <a:endParaRPr lang="en-U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1. Enter the name of the ellipsoid associated with the input coordinates in C17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2. Enter the semi major axis (metres) and inverse of flattening for the ellipsoid in D18:D19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3. Enter coordinates of central point of projection (reference latitude and central meridian) in D22:G23.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4. Enter coordinates of north and south parallels in D24:G25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5. Enter false easting and false northing values in D26:D27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6. Enter geographic coordonates in D8:G9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7. Read the resulting XY coordinates in N7:N8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8. Read scale factor at transformed point in N9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All calculations are hidden </a:t>
          </a:r>
          <a:r>
            <a:rPr lang="en-US" sz="1100" b="0" i="0" u="none" strike="noStrike" baseline="0">
              <a:solidFill>
                <a:srgbClr val="FF00FF"/>
              </a:solidFill>
              <a:latin typeface="+mn-lt"/>
              <a:cs typeface="Arial"/>
            </a:rPr>
            <a:t>(DO NOT DELETE THOSE!)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Use Excel's unhide command (rows and columns) to see intermediate results.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29</xdr:row>
      <xdr:rowOff>47625</xdr:rowOff>
    </xdr:from>
    <xdr:to>
      <xdr:col>12</xdr:col>
      <xdr:colOff>342900</xdr:colOff>
      <xdr:row>36</xdr:row>
      <xdr:rowOff>123825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95300" y="4933950"/>
          <a:ext cx="5943600" cy="1209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1050" b="0" i="0" u="sng" strike="noStrike" baseline="0">
              <a:solidFill>
                <a:srgbClr val="000000"/>
              </a:solidFill>
              <a:latin typeface="+mn-lt"/>
              <a:cs typeface="Arial"/>
            </a:rPr>
            <a:t>Instructions:</a:t>
          </a:r>
          <a:endParaRPr lang="fr-CA" sz="105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CA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1. </a:t>
          </a:r>
          <a:r>
            <a:rPr lang="fr-CA" sz="105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All parameters are entered on the "Geographic to XY" sheet</a:t>
          </a:r>
          <a:endParaRPr lang="fr-CA" sz="1050">
            <a:latin typeface="+mn-lt"/>
          </a:endParaRPr>
        </a:p>
        <a:p>
          <a:pPr algn="l" rtl="0">
            <a:defRPr sz="1000"/>
          </a:pPr>
          <a:r>
            <a:rPr lang="fr-CA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2. Enter XY coordinates in D8:D9</a:t>
          </a:r>
        </a:p>
        <a:p>
          <a:pPr algn="l" rtl="0">
            <a:defRPr sz="1000"/>
          </a:pPr>
          <a:r>
            <a:rPr lang="fr-CA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3. Read the resulting geographic coordinates in J8:M9</a:t>
          </a:r>
        </a:p>
        <a:p>
          <a:pPr algn="l" rtl="0">
            <a:defRPr sz="1000"/>
          </a:pPr>
          <a:endParaRPr lang="fr-CA" sz="105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CA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All calculations are hidden </a:t>
          </a:r>
          <a:r>
            <a:rPr lang="fr-CA" sz="1050" b="0" i="0" u="none" strike="noStrike" baseline="0">
              <a:solidFill>
                <a:srgbClr val="FF00FF"/>
              </a:solidFill>
              <a:latin typeface="+mn-lt"/>
              <a:cs typeface="Arial"/>
            </a:rPr>
            <a:t>(DO NOT DELETE THOSE!)</a:t>
          </a:r>
          <a:r>
            <a:rPr lang="fr-CA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r>
            <a:rPr lang="fr-CA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Use Excel's unhide command (rows and columns) to see intermediate results.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5"/>
  <sheetViews>
    <sheetView zoomScaleNormal="100" workbookViewId="0">
      <selection activeCell="N18" sqref="N18"/>
    </sheetView>
  </sheetViews>
  <sheetFormatPr defaultRowHeight="15" x14ac:dyDescent="0.25"/>
  <cols>
    <col min="1" max="1" width="8.42578125" style="1" customWidth="1"/>
    <col min="2" max="2" width="7" style="1" customWidth="1"/>
    <col min="3" max="3" width="18.85546875" style="1" customWidth="1"/>
    <col min="4" max="4" width="15.140625" style="1" customWidth="1"/>
    <col min="5" max="5" width="6.140625" style="1" customWidth="1"/>
    <col min="6" max="6" width="9.42578125" style="1" customWidth="1"/>
    <col min="7" max="7" width="4.85546875" style="1" customWidth="1"/>
    <col min="8" max="10" width="9.140625" style="1" hidden="1" customWidth="1"/>
    <col min="11" max="11" width="4.28515625" style="1" customWidth="1"/>
    <col min="12" max="12" width="5.28515625" style="1" customWidth="1"/>
    <col min="13" max="13" width="16.42578125" style="1" customWidth="1"/>
    <col min="14" max="14" width="12.85546875" style="1" customWidth="1"/>
    <col min="15" max="15" width="5.85546875" style="1" customWidth="1"/>
    <col min="16" max="16384" width="9.140625" style="1"/>
  </cols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x14ac:dyDescent="0.25">
      <c r="B3" s="5"/>
      <c r="C3" s="36" t="s">
        <v>21</v>
      </c>
      <c r="O3" s="7"/>
    </row>
    <row r="4" spans="2:15" x14ac:dyDescent="0.25">
      <c r="B4" s="5"/>
      <c r="O4" s="7"/>
    </row>
    <row r="5" spans="2:15" x14ac:dyDescent="0.25">
      <c r="B5" s="5"/>
      <c r="D5" s="8" t="s">
        <v>0</v>
      </c>
      <c r="M5" s="9" t="s">
        <v>1</v>
      </c>
      <c r="O5" s="7"/>
    </row>
    <row r="6" spans="2:15" x14ac:dyDescent="0.25">
      <c r="B6" s="5"/>
      <c r="C6" s="1" t="s">
        <v>2</v>
      </c>
      <c r="O6" s="7"/>
    </row>
    <row r="7" spans="2:15" x14ac:dyDescent="0.25">
      <c r="B7" s="5"/>
      <c r="D7" s="10" t="s">
        <v>3</v>
      </c>
      <c r="E7" s="10" t="s">
        <v>4</v>
      </c>
      <c r="F7" s="10" t="s">
        <v>5</v>
      </c>
      <c r="G7" s="11"/>
      <c r="H7" s="11" t="s">
        <v>6</v>
      </c>
      <c r="J7" s="11" t="s">
        <v>7</v>
      </c>
      <c r="M7" s="12" t="s">
        <v>8</v>
      </c>
      <c r="N7" s="13">
        <f>D57+D26</f>
        <v>3693259.5624442305</v>
      </c>
      <c r="O7" s="7"/>
    </row>
    <row r="8" spans="2:15" x14ac:dyDescent="0.25">
      <c r="B8" s="5"/>
      <c r="C8" s="6" t="s">
        <v>43</v>
      </c>
      <c r="D8" s="14">
        <v>36</v>
      </c>
      <c r="E8" s="15">
        <v>50</v>
      </c>
      <c r="F8" s="16">
        <v>0</v>
      </c>
      <c r="G8" s="8" t="s">
        <v>9</v>
      </c>
      <c r="H8" s="1">
        <f>ABS(D8)+ABS(E8/60)+ABS(F8/3600)</f>
        <v>36.833333333333336</v>
      </c>
      <c r="I8" s="1">
        <f>IF(G8="S", -H8,H8)</f>
        <v>36.833333333333336</v>
      </c>
      <c r="J8" s="17">
        <f>(H8/180)*PI()</f>
        <v>0.64286294115124476</v>
      </c>
      <c r="M8" s="12" t="s">
        <v>10</v>
      </c>
      <c r="N8" s="13">
        <f>D58+D27</f>
        <v>1057705.0880818143</v>
      </c>
      <c r="O8" s="7"/>
    </row>
    <row r="9" spans="2:15" x14ac:dyDescent="0.25">
      <c r="B9" s="5"/>
      <c r="C9" s="6" t="s">
        <v>44</v>
      </c>
      <c r="D9" s="18">
        <v>76</v>
      </c>
      <c r="E9" s="15">
        <v>20</v>
      </c>
      <c r="F9" s="16">
        <v>0</v>
      </c>
      <c r="G9" s="8" t="s">
        <v>30</v>
      </c>
      <c r="H9" s="1">
        <f>ABS(D9)+ABS(E9/60)+ABS(F9/3600)</f>
        <v>76.333333333333329</v>
      </c>
      <c r="I9" s="1">
        <f>IF(G9="W",-H9,H9)</f>
        <v>-76.333333333333329</v>
      </c>
      <c r="J9" s="1">
        <f>(I9/180)*PI()</f>
        <v>-1.3322679956890047</v>
      </c>
      <c r="M9" s="12" t="s">
        <v>27</v>
      </c>
      <c r="N9" s="19">
        <f>D59</f>
        <v>0.99998856811027426</v>
      </c>
      <c r="O9" s="7"/>
    </row>
    <row r="10" spans="2:15" x14ac:dyDescent="0.25">
      <c r="B10" s="5"/>
      <c r="M10" s="6" t="s">
        <v>29</v>
      </c>
      <c r="N10" s="20">
        <f>D60*180/PI()</f>
        <v>1.315003834275644</v>
      </c>
      <c r="O10" s="7"/>
    </row>
    <row r="11" spans="2:15" ht="15.75" thickBot="1" x14ac:dyDescent="0.3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2:15" ht="15.75" thickBot="1" x14ac:dyDescent="0.3"/>
    <row r="13" spans="2:15" x14ac:dyDescent="0.25">
      <c r="B13" s="2"/>
      <c r="C13" s="3"/>
      <c r="D13" s="3"/>
      <c r="E13" s="3"/>
      <c r="F13" s="3"/>
      <c r="G13" s="3"/>
      <c r="H13" s="3"/>
      <c r="I13" s="3"/>
      <c r="J13" s="3"/>
      <c r="K13" s="24"/>
      <c r="L13" s="11"/>
    </row>
    <row r="14" spans="2:15" x14ac:dyDescent="0.25">
      <c r="B14" s="5"/>
      <c r="C14" s="6" t="s">
        <v>11</v>
      </c>
      <c r="K14" s="7"/>
      <c r="N14" s="25" t="s">
        <v>0</v>
      </c>
    </row>
    <row r="15" spans="2:15" x14ac:dyDescent="0.25">
      <c r="B15" s="5"/>
      <c r="C15" s="6"/>
      <c r="K15" s="7"/>
      <c r="N15" s="9" t="s">
        <v>1</v>
      </c>
    </row>
    <row r="16" spans="2:15" x14ac:dyDescent="0.25">
      <c r="B16" s="5"/>
      <c r="C16" s="6" t="s">
        <v>12</v>
      </c>
      <c r="K16" s="7"/>
    </row>
    <row r="17" spans="2:11" x14ac:dyDescent="0.25">
      <c r="B17" s="5"/>
      <c r="C17" s="26" t="s">
        <v>42</v>
      </c>
      <c r="K17" s="7"/>
    </row>
    <row r="18" spans="2:11" x14ac:dyDescent="0.25">
      <c r="B18" s="5"/>
      <c r="C18" s="27" t="s">
        <v>13</v>
      </c>
      <c r="D18" s="26">
        <v>6378137</v>
      </c>
      <c r="E18" s="1" t="s">
        <v>14</v>
      </c>
      <c r="K18" s="7"/>
    </row>
    <row r="19" spans="2:11" x14ac:dyDescent="0.25">
      <c r="B19" s="5"/>
      <c r="C19" s="27" t="s">
        <v>15</v>
      </c>
      <c r="D19" s="26">
        <v>298.25722356300003</v>
      </c>
      <c r="K19" s="7"/>
    </row>
    <row r="20" spans="2:11" x14ac:dyDescent="0.25">
      <c r="B20" s="5"/>
      <c r="K20" s="7"/>
    </row>
    <row r="21" spans="2:11" x14ac:dyDescent="0.25">
      <c r="B21" s="5"/>
      <c r="C21" s="27"/>
      <c r="D21" s="10" t="s">
        <v>3</v>
      </c>
      <c r="E21" s="10" t="s">
        <v>4</v>
      </c>
      <c r="F21" s="10" t="s">
        <v>5</v>
      </c>
      <c r="G21" s="11"/>
      <c r="H21" s="11" t="s">
        <v>6</v>
      </c>
      <c r="I21" s="10" t="s">
        <v>22</v>
      </c>
      <c r="J21" s="11" t="s">
        <v>7</v>
      </c>
      <c r="K21" s="7"/>
    </row>
    <row r="22" spans="2:11" ht="18" x14ac:dyDescent="0.35">
      <c r="B22" s="5"/>
      <c r="C22" s="27" t="s">
        <v>45</v>
      </c>
      <c r="D22" s="18">
        <v>36</v>
      </c>
      <c r="E22" s="15">
        <v>20</v>
      </c>
      <c r="F22" s="16">
        <v>0</v>
      </c>
      <c r="G22" s="8" t="s">
        <v>9</v>
      </c>
      <c r="H22" s="1">
        <f>ABS(D22)+ABS(E22/60)+ABS(F22/3600)</f>
        <v>36.333333333333336</v>
      </c>
      <c r="I22" s="1">
        <f>IF(G22="S", -H22,H22)</f>
        <v>36.333333333333336</v>
      </c>
      <c r="J22" s="1">
        <f>(I22/180)*PI()</f>
        <v>0.6341362948912731</v>
      </c>
      <c r="K22" s="7"/>
    </row>
    <row r="23" spans="2:11" ht="18" x14ac:dyDescent="0.35">
      <c r="B23" s="5"/>
      <c r="C23" s="27" t="s">
        <v>46</v>
      </c>
      <c r="D23" s="18">
        <v>78</v>
      </c>
      <c r="E23" s="15">
        <v>30</v>
      </c>
      <c r="F23" s="16">
        <v>0</v>
      </c>
      <c r="G23" s="8" t="s">
        <v>30</v>
      </c>
      <c r="H23" s="1">
        <f>ABS(D23)+ABS(E23/60)+ABS(F23/3600)</f>
        <v>78.5</v>
      </c>
      <c r="I23" s="1">
        <f>IF(G23="w", -H23,H23)</f>
        <v>-78.5</v>
      </c>
      <c r="J23" s="1">
        <f>(I23/180)*PI()</f>
        <v>-1.3700834628155487</v>
      </c>
      <c r="K23" s="7"/>
    </row>
    <row r="24" spans="2:11" ht="18" x14ac:dyDescent="0.35">
      <c r="B24" s="5"/>
      <c r="C24" s="27" t="s">
        <v>47</v>
      </c>
      <c r="D24" s="18">
        <v>37</v>
      </c>
      <c r="E24" s="15">
        <v>58</v>
      </c>
      <c r="F24" s="16">
        <v>0</v>
      </c>
      <c r="G24" s="8" t="s">
        <v>9</v>
      </c>
      <c r="H24" s="1">
        <f>ABS(D24)+ABS(E24/60)+ABS(F24/3600)</f>
        <v>37.966666666666669</v>
      </c>
      <c r="I24" s="1">
        <f>IF(G24="S", -H24,H24)</f>
        <v>37.966666666666669</v>
      </c>
      <c r="J24" s="1">
        <f>(I24/180)*PI()</f>
        <v>0.66264333934051378</v>
      </c>
      <c r="K24" s="7"/>
    </row>
    <row r="25" spans="2:11" ht="18" x14ac:dyDescent="0.35">
      <c r="B25" s="5"/>
      <c r="C25" s="27" t="s">
        <v>48</v>
      </c>
      <c r="D25" s="18">
        <v>36</v>
      </c>
      <c r="E25" s="15">
        <v>46</v>
      </c>
      <c r="F25" s="16">
        <v>0</v>
      </c>
      <c r="G25" s="8" t="s">
        <v>9</v>
      </c>
      <c r="H25" s="1">
        <f>ABS(D25)+ABS(E25/60)+ABS(F25/3600)</f>
        <v>36.766666666666666</v>
      </c>
      <c r="I25" s="1">
        <f>IF(G25="S", -H25,H25)</f>
        <v>36.766666666666666</v>
      </c>
      <c r="J25" s="1">
        <f>(I25/180)*PI()</f>
        <v>0.6416993883165818</v>
      </c>
      <c r="K25" s="7"/>
    </row>
    <row r="26" spans="2:11" x14ac:dyDescent="0.25">
      <c r="B26" s="5"/>
      <c r="C26" s="27" t="s">
        <v>16</v>
      </c>
      <c r="D26" s="28">
        <v>3500000</v>
      </c>
      <c r="E26" s="11"/>
      <c r="F26" s="11"/>
      <c r="G26" s="11"/>
      <c r="K26" s="7"/>
    </row>
    <row r="27" spans="2:11" x14ac:dyDescent="0.25">
      <c r="B27" s="5"/>
      <c r="C27" s="27" t="s">
        <v>17</v>
      </c>
      <c r="D27" s="28">
        <v>1000000</v>
      </c>
      <c r="K27" s="7"/>
    </row>
    <row r="28" spans="2:11" ht="15.75" thickBot="1" x14ac:dyDescent="0.3"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30" spans="2:11" x14ac:dyDescent="0.25">
      <c r="C30" s="29"/>
    </row>
    <row r="31" spans="2:11" x14ac:dyDescent="0.25">
      <c r="C31" s="29"/>
    </row>
    <row r="32" spans="2:11" x14ac:dyDescent="0.25">
      <c r="C32" s="29"/>
    </row>
    <row r="33" spans="2:4" x14ac:dyDescent="0.25">
      <c r="C33" s="29"/>
    </row>
    <row r="34" spans="2:4" x14ac:dyDescent="0.25">
      <c r="C34" s="29"/>
    </row>
    <row r="35" spans="2:4" x14ac:dyDescent="0.25">
      <c r="C35" s="29"/>
    </row>
    <row r="36" spans="2:4" x14ac:dyDescent="0.25">
      <c r="C36" s="29"/>
    </row>
    <row r="37" spans="2:4" x14ac:dyDescent="0.25">
      <c r="C37" s="29"/>
    </row>
    <row r="38" spans="2:4" x14ac:dyDescent="0.25">
      <c r="C38" s="29"/>
    </row>
    <row r="39" spans="2:4" x14ac:dyDescent="0.25">
      <c r="C39" s="29"/>
    </row>
    <row r="40" spans="2:4" x14ac:dyDescent="0.25">
      <c r="C40" s="29"/>
    </row>
    <row r="41" spans="2:4" x14ac:dyDescent="0.25">
      <c r="C41" s="29"/>
    </row>
    <row r="42" spans="2:4" x14ac:dyDescent="0.25">
      <c r="C42" s="29"/>
    </row>
    <row r="43" spans="2:4" hidden="1" x14ac:dyDescent="0.25">
      <c r="B43" s="30" t="s">
        <v>18</v>
      </c>
    </row>
    <row r="44" spans="2:4" ht="17.25" hidden="1" x14ac:dyDescent="0.25">
      <c r="C44" s="31" t="s">
        <v>49</v>
      </c>
      <c r="D44" s="1">
        <f>2/D19-1/(D19)^2</f>
        <v>6.6943799901413165E-3</v>
      </c>
    </row>
    <row r="45" spans="2:4" hidden="1" x14ac:dyDescent="0.25">
      <c r="C45" s="31" t="s">
        <v>25</v>
      </c>
      <c r="D45" s="1">
        <f>COS(J8)/SQRT(1-D44*(SIN(J8))^2)</f>
        <v>0.80134728938315269</v>
      </c>
    </row>
    <row r="46" spans="2:4" ht="18" hidden="1" x14ac:dyDescent="0.35">
      <c r="C46" s="31" t="s">
        <v>50</v>
      </c>
      <c r="D46" s="1">
        <f>COS(J24)/SQRT(1-D44*(SIN(J24))^2)</f>
        <v>0.78936942589749282</v>
      </c>
    </row>
    <row r="47" spans="2:4" ht="18" hidden="1" x14ac:dyDescent="0.35">
      <c r="C47" s="31" t="s">
        <v>51</v>
      </c>
      <c r="D47" s="1">
        <f>COS(J25)/SQRT(1-D44*(SIN(J25))^2)</f>
        <v>0.802042121117992</v>
      </c>
    </row>
    <row r="48" spans="2:4" hidden="1" x14ac:dyDescent="0.25">
      <c r="C48" s="31" t="s">
        <v>20</v>
      </c>
      <c r="D48" s="1">
        <f>TAN(PI()/4-((J8)/2))/((1-SQRT(D44)*SIN(J8))/(1+SQRT(D44)*SIN(J8)))^(SQRT(D44)/2)</f>
        <v>0.50241277849704147</v>
      </c>
    </row>
    <row r="49" spans="2:6" ht="18" hidden="1" x14ac:dyDescent="0.35">
      <c r="C49" s="31" t="s">
        <v>52</v>
      </c>
      <c r="D49" s="1">
        <f>TAN(PI()/4-((J22)/2))/((1-SQRT(D44)*SIN(J22))/(1+SQRT(D44)*SIN(J22)))^(SQRT(D44)/2)</f>
        <v>0.5078787704316291</v>
      </c>
    </row>
    <row r="50" spans="2:6" ht="18" hidden="1" x14ac:dyDescent="0.35">
      <c r="C50" s="29" t="s">
        <v>53</v>
      </c>
      <c r="D50" s="1">
        <f>TAN(PI()/4-((J24)/2))/((1-SQRT(D44)*SIN(J24))/(1+SQRT(D44)*SIN(J24)))^(SQRT(D44)/2)</f>
        <v>0.49010873969773983</v>
      </c>
    </row>
    <row r="51" spans="2:6" ht="18" hidden="1" x14ac:dyDescent="0.35">
      <c r="C51" s="31" t="s">
        <v>54</v>
      </c>
      <c r="D51" s="1">
        <f>TAN(PI()/4-((J25)/2))/((1-SQRT(D44)*SIN(J25))/(1+SQRT(D44)*SIN(J25)))^(SQRT(D44)/2)</f>
        <v>0.50314022589927809</v>
      </c>
    </row>
    <row r="52" spans="2:6" hidden="1" x14ac:dyDescent="0.25">
      <c r="C52" s="31" t="s">
        <v>24</v>
      </c>
      <c r="D52" s="1">
        <f>(LN(D46)-LN(D47))/(LN(D50)-LN(D51))</f>
        <v>0.60692484658875501</v>
      </c>
      <c r="F52" s="32"/>
    </row>
    <row r="53" spans="2:6" hidden="1" x14ac:dyDescent="0.25">
      <c r="C53" s="29" t="s">
        <v>26</v>
      </c>
      <c r="D53" s="1">
        <f>D46/(D52*D50^D52)</f>
        <v>2.0050009975793635</v>
      </c>
    </row>
    <row r="54" spans="2:6" ht="18" hidden="1" x14ac:dyDescent="0.35">
      <c r="C54" s="31" t="s">
        <v>55</v>
      </c>
      <c r="D54" s="1">
        <f>D18*D53*D49^D52</f>
        <v>8476701.8058642596</v>
      </c>
    </row>
    <row r="55" spans="2:6" hidden="1" x14ac:dyDescent="0.25">
      <c r="B55" s="30"/>
      <c r="C55" s="29" t="s">
        <v>37</v>
      </c>
      <c r="D55" s="33">
        <f>D18*D53*D48^D52</f>
        <v>8421214.5794123858</v>
      </c>
    </row>
    <row r="56" spans="2:6" hidden="1" x14ac:dyDescent="0.25">
      <c r="C56" s="29" t="s">
        <v>23</v>
      </c>
      <c r="D56" s="1">
        <f>D52*(J9-J23)</f>
        <v>2.2951146584459851E-2</v>
      </c>
    </row>
    <row r="57" spans="2:6" hidden="1" x14ac:dyDescent="0.25">
      <c r="C57" s="31" t="s">
        <v>35</v>
      </c>
      <c r="D57" s="32">
        <f>D55*SIN(D56)</f>
        <v>193259.56244423048</v>
      </c>
    </row>
    <row r="58" spans="2:6" hidden="1" x14ac:dyDescent="0.25">
      <c r="C58" s="34" t="s">
        <v>36</v>
      </c>
      <c r="D58" s="32">
        <f>D54-D55*COS(D56)</f>
        <v>57705.088081814349</v>
      </c>
    </row>
    <row r="59" spans="2:6" hidden="1" x14ac:dyDescent="0.25">
      <c r="B59" s="30"/>
      <c r="C59" s="29" t="s">
        <v>19</v>
      </c>
      <c r="D59" s="1">
        <f>(D55*D52)/(D18*D45)</f>
        <v>0.99998856811027426</v>
      </c>
    </row>
    <row r="60" spans="2:6" hidden="1" x14ac:dyDescent="0.25">
      <c r="C60" s="31" t="s">
        <v>28</v>
      </c>
      <c r="D60" s="35">
        <f>D56</f>
        <v>2.2951146584459851E-2</v>
      </c>
    </row>
    <row r="63" spans="2:6" x14ac:dyDescent="0.25">
      <c r="C63" s="29"/>
    </row>
    <row r="64" spans="2:6" x14ac:dyDescent="0.25">
      <c r="C64" s="29"/>
    </row>
    <row r="65" spans="3:3" x14ac:dyDescent="0.25">
      <c r="C65" s="29"/>
    </row>
  </sheetData>
  <phoneticPr fontId="0" type="noConversion"/>
  <pageMargins left="0.75" right="0.75" top="0.67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8"/>
  <sheetViews>
    <sheetView tabSelected="1" zoomScaleNormal="100" workbookViewId="0">
      <selection activeCell="R15" sqref="R15"/>
    </sheetView>
  </sheetViews>
  <sheetFormatPr defaultRowHeight="15" x14ac:dyDescent="0.25"/>
  <cols>
    <col min="1" max="1" width="7.28515625" style="1" customWidth="1"/>
    <col min="2" max="2" width="5.28515625" style="1" customWidth="1"/>
    <col min="3" max="3" width="19.7109375" style="1" customWidth="1"/>
    <col min="4" max="4" width="14.42578125" style="1" customWidth="1"/>
    <col min="5" max="5" width="5.5703125" style="1" customWidth="1"/>
    <col min="6" max="6" width="11.140625" style="1" customWidth="1"/>
    <col min="7" max="7" width="4.42578125" style="1" customWidth="1"/>
    <col min="8" max="8" width="11.7109375" style="1" hidden="1" customWidth="1"/>
    <col min="9" max="9" width="11.85546875" style="1" hidden="1" customWidth="1"/>
    <col min="10" max="10" width="5.42578125" style="1" hidden="1" customWidth="1"/>
    <col min="11" max="11" width="4" style="1" customWidth="1"/>
    <col min="12" max="12" width="12.28515625" style="1" customWidth="1"/>
    <col min="13" max="13" width="5.28515625" style="1" customWidth="1"/>
    <col min="14" max="14" width="5.85546875" style="1" customWidth="1"/>
    <col min="15" max="15" width="13.42578125" style="1" bestFit="1" customWidth="1"/>
    <col min="16" max="16" width="5" style="1" customWidth="1"/>
    <col min="17" max="16384" width="9.140625" style="1"/>
  </cols>
  <sheetData>
    <row r="1" spans="2:16" ht="15.75" thickBot="1" x14ac:dyDescent="0.3"/>
    <row r="2" spans="2:16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x14ac:dyDescent="0.25">
      <c r="B3" s="5"/>
      <c r="C3" s="36" t="s">
        <v>34</v>
      </c>
      <c r="P3" s="7"/>
    </row>
    <row r="4" spans="2:16" x14ac:dyDescent="0.25">
      <c r="B4" s="5"/>
      <c r="P4" s="7"/>
    </row>
    <row r="5" spans="2:16" x14ac:dyDescent="0.25">
      <c r="B5" s="5"/>
      <c r="D5" s="8" t="s">
        <v>0</v>
      </c>
      <c r="L5" s="9" t="s">
        <v>1</v>
      </c>
      <c r="P5" s="7"/>
    </row>
    <row r="6" spans="2:16" x14ac:dyDescent="0.25">
      <c r="B6" s="5"/>
      <c r="C6" s="1" t="s">
        <v>2</v>
      </c>
      <c r="P6" s="7"/>
    </row>
    <row r="7" spans="2:16" x14ac:dyDescent="0.25">
      <c r="B7" s="5"/>
      <c r="D7" s="10"/>
      <c r="F7" s="10"/>
      <c r="G7" s="11"/>
      <c r="H7" s="11"/>
      <c r="L7" s="12"/>
      <c r="M7" s="10" t="s">
        <v>3</v>
      </c>
      <c r="N7" s="10" t="s">
        <v>4</v>
      </c>
      <c r="O7" s="10" t="s">
        <v>5</v>
      </c>
      <c r="P7" s="37"/>
    </row>
    <row r="8" spans="2:16" x14ac:dyDescent="0.25">
      <c r="B8" s="5"/>
      <c r="C8" s="6" t="s">
        <v>8</v>
      </c>
      <c r="D8" s="38">
        <v>1894410.8983571627</v>
      </c>
      <c r="E8" s="39" t="s">
        <v>14</v>
      </c>
      <c r="F8" s="40"/>
      <c r="G8" s="11"/>
      <c r="L8" s="12" t="s">
        <v>43</v>
      </c>
      <c r="M8" s="41">
        <f>INT(I46)</f>
        <v>39</v>
      </c>
      <c r="N8" s="42">
        <f>INT((I46-M8)*60)</f>
        <v>58</v>
      </c>
      <c r="O8" s="43">
        <f>(I46-M8-N8/60)*3600</f>
        <v>2.4711782399977622E-2</v>
      </c>
      <c r="P8" s="37" t="str">
        <f>IF(G46&lt;0,"S","N")</f>
        <v>N</v>
      </c>
    </row>
    <row r="9" spans="2:16" x14ac:dyDescent="0.25">
      <c r="B9" s="5"/>
      <c r="C9" s="6" t="s">
        <v>10</v>
      </c>
      <c r="D9" s="38">
        <v>1564649.478495378</v>
      </c>
      <c r="E9" s="15" t="s">
        <v>14</v>
      </c>
      <c r="F9" s="40"/>
      <c r="G9" s="11"/>
      <c r="L9" s="12" t="s">
        <v>44</v>
      </c>
      <c r="M9" s="41">
        <f>INT(I47)</f>
        <v>97</v>
      </c>
      <c r="N9" s="42">
        <f>INT((I47-M9)*60)</f>
        <v>24</v>
      </c>
      <c r="O9" s="43">
        <f>(I47-M9-N9/60)*3600</f>
        <v>2.1104998210579762</v>
      </c>
      <c r="P9" s="37" t="str">
        <f>IF(G48&lt;0,"W","E")</f>
        <v>E</v>
      </c>
    </row>
    <row r="10" spans="2:16" ht="15.75" thickBot="1" x14ac:dyDescent="0.3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2" spans="2:16" ht="15.75" thickBot="1" x14ac:dyDescent="0.3">
      <c r="J12" s="22"/>
    </row>
    <row r="13" spans="2:16" x14ac:dyDescent="0.25">
      <c r="B13" s="2"/>
      <c r="C13" s="3"/>
      <c r="D13" s="3"/>
      <c r="E13" s="3"/>
      <c r="F13" s="3"/>
      <c r="G13" s="3"/>
      <c r="H13" s="3"/>
      <c r="I13" s="3"/>
      <c r="J13" s="12"/>
      <c r="K13" s="24"/>
    </row>
    <row r="14" spans="2:16" x14ac:dyDescent="0.25">
      <c r="B14" s="5"/>
      <c r="C14" s="6" t="s">
        <v>11</v>
      </c>
      <c r="K14" s="7"/>
      <c r="N14" s="25" t="s">
        <v>0</v>
      </c>
    </row>
    <row r="15" spans="2:16" x14ac:dyDescent="0.25">
      <c r="B15" s="5"/>
      <c r="C15" s="6"/>
      <c r="K15" s="7"/>
      <c r="N15" s="9" t="s">
        <v>1</v>
      </c>
    </row>
    <row r="16" spans="2:16" x14ac:dyDescent="0.25">
      <c r="B16" s="5"/>
      <c r="C16" s="6" t="s">
        <v>12</v>
      </c>
      <c r="K16" s="7"/>
    </row>
    <row r="17" spans="2:11" x14ac:dyDescent="0.25">
      <c r="B17" s="5"/>
      <c r="C17" s="26" t="str">
        <f>'Geographic to XY'!C17</f>
        <v>WGS-84</v>
      </c>
      <c r="K17" s="7"/>
    </row>
    <row r="18" spans="2:11" x14ac:dyDescent="0.25">
      <c r="B18" s="5"/>
      <c r="C18" s="27" t="s">
        <v>13</v>
      </c>
      <c r="D18" s="26">
        <f>'Geographic to XY'!D18</f>
        <v>6378137</v>
      </c>
      <c r="E18" s="1" t="s">
        <v>14</v>
      </c>
      <c r="K18" s="7"/>
    </row>
    <row r="19" spans="2:11" x14ac:dyDescent="0.25">
      <c r="B19" s="5"/>
      <c r="C19" s="27" t="s">
        <v>15</v>
      </c>
      <c r="D19" s="26">
        <f>'Geographic to XY'!D19</f>
        <v>298.25722356300003</v>
      </c>
      <c r="K19" s="7"/>
    </row>
    <row r="20" spans="2:11" x14ac:dyDescent="0.25">
      <c r="B20" s="5"/>
      <c r="K20" s="7"/>
    </row>
    <row r="21" spans="2:11" x14ac:dyDescent="0.25">
      <c r="B21" s="5"/>
      <c r="C21" s="27"/>
      <c r="D21" s="10" t="s">
        <v>3</v>
      </c>
      <c r="E21" s="10" t="s">
        <v>4</v>
      </c>
      <c r="F21" s="10" t="s">
        <v>5</v>
      </c>
      <c r="G21" s="11"/>
      <c r="H21" s="11" t="s">
        <v>6</v>
      </c>
      <c r="I21" s="11" t="s">
        <v>33</v>
      </c>
      <c r="J21" s="11" t="s">
        <v>7</v>
      </c>
      <c r="K21" s="7"/>
    </row>
    <row r="22" spans="2:11" ht="18" x14ac:dyDescent="0.35">
      <c r="B22" s="5"/>
      <c r="C22" s="27" t="s">
        <v>45</v>
      </c>
      <c r="D22" s="18">
        <f>'Geographic to XY'!D22</f>
        <v>36</v>
      </c>
      <c r="E22" s="15">
        <f>'Geographic to XY'!E22</f>
        <v>20</v>
      </c>
      <c r="F22" s="16">
        <f>'Geographic to XY'!F22</f>
        <v>0</v>
      </c>
      <c r="G22" s="8" t="str">
        <f>'Geographic to XY'!G22</f>
        <v>N</v>
      </c>
      <c r="H22" s="1">
        <f>ABS(D22)+ABS(E22/60)+ABS(F22/3600)</f>
        <v>36.333333333333336</v>
      </c>
      <c r="I22" s="1">
        <f>IF(G22="S", -H22,H22)</f>
        <v>36.333333333333336</v>
      </c>
      <c r="J22" s="1">
        <f>(I22/180)*PI()</f>
        <v>0.6341362948912731</v>
      </c>
      <c r="K22" s="7"/>
    </row>
    <row r="23" spans="2:11" ht="18" x14ac:dyDescent="0.35">
      <c r="B23" s="5"/>
      <c r="C23" s="27" t="s">
        <v>46</v>
      </c>
      <c r="D23" s="18">
        <f>'Geographic to XY'!D23</f>
        <v>78</v>
      </c>
      <c r="E23" s="15">
        <f>'Geographic to XY'!E23</f>
        <v>30</v>
      </c>
      <c r="F23" s="16">
        <f>'Geographic to XY'!F23</f>
        <v>0</v>
      </c>
      <c r="G23" s="8" t="str">
        <f>'Geographic to XY'!G23</f>
        <v>W</v>
      </c>
      <c r="H23" s="1">
        <f>ABS(D23)+ABS(E23/60)+ABS(F23/3600)</f>
        <v>78.5</v>
      </c>
      <c r="I23" s="1">
        <f>IF(G23="w", -H23,H23)</f>
        <v>-78.5</v>
      </c>
      <c r="J23" s="1">
        <f>(I23/180)*PI()</f>
        <v>-1.3700834628155487</v>
      </c>
      <c r="K23" s="7"/>
    </row>
    <row r="24" spans="2:11" ht="18" x14ac:dyDescent="0.35">
      <c r="B24" s="5"/>
      <c r="C24" s="27" t="s">
        <v>47</v>
      </c>
      <c r="D24" s="18">
        <f>'Geographic to XY'!D24</f>
        <v>37</v>
      </c>
      <c r="E24" s="15">
        <f>'Geographic to XY'!E24</f>
        <v>58</v>
      </c>
      <c r="F24" s="16">
        <f>'Geographic to XY'!F24</f>
        <v>0</v>
      </c>
      <c r="G24" s="8" t="str">
        <f>'Geographic to XY'!G24</f>
        <v>N</v>
      </c>
      <c r="H24" s="1">
        <f>ABS(D24)+ABS(E24/60)+ABS(F24/3600)</f>
        <v>37.966666666666669</v>
      </c>
      <c r="I24" s="1">
        <f>IF(G24="S", -H24,H24)</f>
        <v>37.966666666666669</v>
      </c>
      <c r="J24" s="1">
        <f>(I24/180)*PI()</f>
        <v>0.66264333934051378</v>
      </c>
      <c r="K24" s="7"/>
    </row>
    <row r="25" spans="2:11" ht="18" x14ac:dyDescent="0.35">
      <c r="B25" s="5"/>
      <c r="C25" s="27" t="s">
        <v>48</v>
      </c>
      <c r="D25" s="18">
        <f>'Geographic to XY'!D25</f>
        <v>36</v>
      </c>
      <c r="E25" s="15">
        <f>'Geographic to XY'!E25</f>
        <v>46</v>
      </c>
      <c r="F25" s="16">
        <f>'Geographic to XY'!F25</f>
        <v>0</v>
      </c>
      <c r="G25" s="8" t="str">
        <f>'Geographic to XY'!G25</f>
        <v>N</v>
      </c>
      <c r="H25" s="1">
        <f>ABS(D25)+ABS(E25/60)+ABS(F25/3600)</f>
        <v>36.766666666666666</v>
      </c>
      <c r="I25" s="1">
        <f>IF(G25="S", -H25,H25)</f>
        <v>36.766666666666666</v>
      </c>
      <c r="J25" s="1">
        <f>(I25/180)*PI()</f>
        <v>0.6416993883165818</v>
      </c>
      <c r="K25" s="7"/>
    </row>
    <row r="26" spans="2:11" x14ac:dyDescent="0.25">
      <c r="B26" s="5"/>
      <c r="C26" s="27" t="s">
        <v>16</v>
      </c>
      <c r="D26" s="28">
        <f>'Geographic to XY'!D26</f>
        <v>3500000</v>
      </c>
      <c r="E26" s="11"/>
      <c r="F26" s="11"/>
      <c r="G26" s="11"/>
      <c r="K26" s="7"/>
    </row>
    <row r="27" spans="2:11" x14ac:dyDescent="0.25">
      <c r="B27" s="5"/>
      <c r="C27" s="27" t="s">
        <v>17</v>
      </c>
      <c r="D27" s="28">
        <f>'Geographic to XY'!D27</f>
        <v>1000000</v>
      </c>
      <c r="K27" s="7"/>
    </row>
    <row r="28" spans="2:11" ht="15.75" thickBot="1" x14ac:dyDescent="0.3"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30" spans="2:11" x14ac:dyDescent="0.25">
      <c r="C30" s="29"/>
    </row>
    <row r="31" spans="2:11" x14ac:dyDescent="0.25">
      <c r="C31" s="29"/>
    </row>
    <row r="32" spans="2:11" x14ac:dyDescent="0.25">
      <c r="C32" s="29"/>
    </row>
    <row r="33" spans="2:9" x14ac:dyDescent="0.25">
      <c r="C33" s="29"/>
    </row>
    <row r="34" spans="2:9" x14ac:dyDescent="0.25">
      <c r="C34" s="29"/>
    </row>
    <row r="35" spans="2:9" x14ac:dyDescent="0.25">
      <c r="C35" s="29"/>
    </row>
    <row r="36" spans="2:9" x14ac:dyDescent="0.25">
      <c r="C36" s="29"/>
    </row>
    <row r="37" spans="2:9" x14ac:dyDescent="0.25">
      <c r="C37" s="29"/>
    </row>
    <row r="38" spans="2:9" x14ac:dyDescent="0.25">
      <c r="C38" s="29"/>
    </row>
    <row r="39" spans="2:9" x14ac:dyDescent="0.25">
      <c r="C39" s="29"/>
    </row>
    <row r="40" spans="2:9" x14ac:dyDescent="0.25">
      <c r="C40" s="29"/>
    </row>
    <row r="41" spans="2:9" x14ac:dyDescent="0.25">
      <c r="C41" s="29"/>
    </row>
    <row r="42" spans="2:9" x14ac:dyDescent="0.25">
      <c r="C42" s="29"/>
    </row>
    <row r="43" spans="2:9" hidden="1" x14ac:dyDescent="0.25">
      <c r="B43" s="30" t="s">
        <v>18</v>
      </c>
    </row>
    <row r="44" spans="2:9" ht="17.25" hidden="1" x14ac:dyDescent="0.25">
      <c r="C44" s="44" t="s">
        <v>62</v>
      </c>
      <c r="D44" s="1">
        <f>2/D19-1/(D19^2)</f>
        <v>6.6943799901413165E-3</v>
      </c>
      <c r="F44" s="44"/>
      <c r="I44" s="44"/>
    </row>
    <row r="45" spans="2:9" hidden="1" x14ac:dyDescent="0.25">
      <c r="C45" s="44" t="s">
        <v>32</v>
      </c>
      <c r="D45" s="1">
        <f>SQRT(D44)</f>
        <v>8.1819190842621486E-2</v>
      </c>
      <c r="F45" s="44" t="s">
        <v>56</v>
      </c>
      <c r="G45" s="1">
        <f>G60</f>
        <v>0.69755004418650224</v>
      </c>
    </row>
    <row r="46" spans="2:9" hidden="1" x14ac:dyDescent="0.25">
      <c r="B46" s="30"/>
      <c r="C46" s="44" t="s">
        <v>35</v>
      </c>
      <c r="D46" s="33">
        <f>D8-D26</f>
        <v>-1605589.1016428373</v>
      </c>
      <c r="F46" s="44" t="s">
        <v>57</v>
      </c>
      <c r="G46" s="1">
        <f>G45*180/PI()</f>
        <v>39.966673531050667</v>
      </c>
      <c r="H46" s="1" t="s">
        <v>41</v>
      </c>
      <c r="I46" s="1">
        <f>ABS(G46)</f>
        <v>39.966673531050667</v>
      </c>
    </row>
    <row r="47" spans="2:9" hidden="1" x14ac:dyDescent="0.25">
      <c r="B47" s="30"/>
      <c r="C47" s="44" t="s">
        <v>36</v>
      </c>
      <c r="D47" s="33">
        <f>D9-D27</f>
        <v>564649.47849537805</v>
      </c>
      <c r="F47" s="1" t="s">
        <v>58</v>
      </c>
      <c r="G47" s="1">
        <f>D55*180/PI()</f>
        <v>-97.400586249950294</v>
      </c>
      <c r="H47" s="1" t="s">
        <v>40</v>
      </c>
      <c r="I47" s="1">
        <f>ABS(G47)</f>
        <v>97.400586249950294</v>
      </c>
    </row>
    <row r="48" spans="2:9" hidden="1" x14ac:dyDescent="0.25">
      <c r="C48" s="44" t="s">
        <v>24</v>
      </c>
      <c r="D48" s="1">
        <f>'Geographic to XY'!D52</f>
        <v>0.60692484658875501</v>
      </c>
    </row>
    <row r="49" spans="3:7" hidden="1" x14ac:dyDescent="0.25">
      <c r="C49" s="44" t="s">
        <v>26</v>
      </c>
      <c r="D49" s="1">
        <f>'Geographic to XY'!D53</f>
        <v>2.0050009975793635</v>
      </c>
    </row>
    <row r="50" spans="3:7" hidden="1" x14ac:dyDescent="0.25">
      <c r="C50" s="44" t="s">
        <v>59</v>
      </c>
      <c r="D50" s="1">
        <f>'Geographic to XY'!D54</f>
        <v>8476701.8058642596</v>
      </c>
      <c r="F50" s="1" t="s">
        <v>38</v>
      </c>
      <c r="G50" s="1" t="s">
        <v>39</v>
      </c>
    </row>
    <row r="51" spans="3:7" hidden="1" x14ac:dyDescent="0.25">
      <c r="C51" s="44" t="s">
        <v>60</v>
      </c>
      <c r="D51" s="1">
        <f>SQRT(D46^2+(D50-D47)^2)</f>
        <v>8073319.5399623308</v>
      </c>
      <c r="F51" s="1">
        <v>1</v>
      </c>
      <c r="G51" s="1">
        <f>PI()/2-2*ATAN(D54)</f>
        <v>0.69424678642854365</v>
      </c>
    </row>
    <row r="52" spans="3:7" hidden="1" x14ac:dyDescent="0.25">
      <c r="C52" s="44" t="s">
        <v>31</v>
      </c>
      <c r="D52" s="1">
        <f>PI()/2-2*ATAN(D54)</f>
        <v>0.69424678642854365</v>
      </c>
      <c r="F52" s="1">
        <v>2</v>
      </c>
      <c r="G52" s="1">
        <f>PI()/2-2*ATAN($D$54*((1-$D$45*SIN(G51))/(1+$D$45*SIN(G51)))^($D$45/2))</f>
        <v>0.69753700101307659</v>
      </c>
    </row>
    <row r="53" spans="3:7" hidden="1" x14ac:dyDescent="0.25">
      <c r="C53" s="44" t="s">
        <v>23</v>
      </c>
      <c r="D53" s="1">
        <f>ATAN(D46/(D50-D47))</f>
        <v>-0.20021082717915359</v>
      </c>
      <c r="F53" s="1">
        <v>3</v>
      </c>
      <c r="G53" s="1">
        <f t="shared" ref="G53:G60" si="0">PI()/2-2*ATAN($D$54*((1-$D$45*SIN(G52))/(1+$D$45*SIN(G52)))^($D$45/2))</f>
        <v>0.6975499927550437</v>
      </c>
    </row>
    <row r="54" spans="3:7" hidden="1" x14ac:dyDescent="0.25">
      <c r="C54" s="44" t="s">
        <v>20</v>
      </c>
      <c r="D54" s="1">
        <f>(D51/(D18*D49))^(1/D48)</f>
        <v>0.46867463567513057</v>
      </c>
      <c r="F54" s="1">
        <v>4</v>
      </c>
      <c r="G54" s="1">
        <f t="shared" si="0"/>
        <v>0.69755004398370024</v>
      </c>
    </row>
    <row r="55" spans="3:7" hidden="1" x14ac:dyDescent="0.25">
      <c r="C55" s="44" t="s">
        <v>61</v>
      </c>
      <c r="D55" s="1">
        <f>D53/D48+J23</f>
        <v>-1.6999609234343493</v>
      </c>
      <c r="F55" s="1">
        <v>5</v>
      </c>
      <c r="G55" s="1">
        <f t="shared" si="0"/>
        <v>0.69755004418570254</v>
      </c>
    </row>
    <row r="56" spans="3:7" hidden="1" x14ac:dyDescent="0.25">
      <c r="C56" s="44"/>
      <c r="F56" s="1">
        <v>6</v>
      </c>
      <c r="G56" s="1">
        <f t="shared" si="0"/>
        <v>0.69755004418649902</v>
      </c>
    </row>
    <row r="57" spans="3:7" hidden="1" x14ac:dyDescent="0.25">
      <c r="C57" s="44"/>
      <c r="F57" s="1">
        <v>7</v>
      </c>
      <c r="G57" s="1">
        <f t="shared" si="0"/>
        <v>0.69755004418650224</v>
      </c>
    </row>
    <row r="58" spans="3:7" hidden="1" x14ac:dyDescent="0.25">
      <c r="C58" s="44"/>
      <c r="F58" s="1">
        <v>8</v>
      </c>
      <c r="G58" s="1">
        <f t="shared" si="0"/>
        <v>0.69755004418650224</v>
      </c>
    </row>
    <row r="59" spans="3:7" hidden="1" x14ac:dyDescent="0.25">
      <c r="C59" s="44"/>
      <c r="F59" s="1">
        <v>9</v>
      </c>
      <c r="G59" s="1">
        <f t="shared" si="0"/>
        <v>0.69755004418650224</v>
      </c>
    </row>
    <row r="60" spans="3:7" hidden="1" x14ac:dyDescent="0.25">
      <c r="C60" s="45"/>
      <c r="F60" s="1">
        <v>10</v>
      </c>
      <c r="G60" s="1">
        <f t="shared" si="0"/>
        <v>0.69755004418650224</v>
      </c>
    </row>
    <row r="61" spans="3:7" x14ac:dyDescent="0.25">
      <c r="C61" s="31"/>
      <c r="D61" s="35"/>
    </row>
    <row r="62" spans="3:7" x14ac:dyDescent="0.25">
      <c r="C62" s="31"/>
      <c r="D62" s="35"/>
    </row>
    <row r="63" spans="3:7" x14ac:dyDescent="0.25">
      <c r="C63" s="31"/>
    </row>
    <row r="66" spans="3:3" x14ac:dyDescent="0.25">
      <c r="C66" s="29"/>
    </row>
    <row r="67" spans="3:3" x14ac:dyDescent="0.25">
      <c r="C67" s="29"/>
    </row>
    <row r="68" spans="3:3" x14ac:dyDescent="0.25">
      <c r="C68" s="29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Geographic to XY</vt:lpstr>
      <vt:lpstr>XY to Geographic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mircea</dc:creator>
  <cp:lastModifiedBy>Mircea Neacsu</cp:lastModifiedBy>
  <cp:lastPrinted>2001-03-24T19:15:32Z</cp:lastPrinted>
  <dcterms:created xsi:type="dcterms:W3CDTF">2001-02-22T14:39:17Z</dcterms:created>
  <dcterms:modified xsi:type="dcterms:W3CDTF">2022-08-15T20:55:59Z</dcterms:modified>
</cp:coreProperties>
</file>